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17580" windowHeight="9405" firstSheet="2" activeTab="5"/>
  </bookViews>
  <sheets>
    <sheet name="Budsjett 2017 oppdelt i funk." sheetId="9" r:id="rId1"/>
    <sheet name="Notater EKF 2017" sheetId="4" r:id="rId2"/>
    <sheet name="EKF Lønnsnøkkel - notater 2017" sheetId="12" r:id="rId3"/>
    <sheet name="Investeringsbudsjett EKF" sheetId="14" r:id="rId4"/>
    <sheet name="Budsjett 2017 Kyrkja mi" sheetId="13" r:id="rId5"/>
    <sheet name="Bud. 2017 Kyrkja mi- interne ko" sheetId="10" r:id="rId6"/>
    <sheet name="Notater 2017 - Kyrkja mi" sheetId="11" r:id="rId7"/>
    <sheet name="Budsjett trosopplæringen 2017" sheetId="16" r:id="rId8"/>
  </sheets>
  <definedNames>
    <definedName name="_xlnm.Print_Area" localSheetId="0">'Budsjett 2017 oppdelt i funk.'!$A$1:$J$86</definedName>
  </definedNames>
  <calcPr calcId="145621"/>
</workbook>
</file>

<file path=xl/calcChain.xml><?xml version="1.0" encoding="utf-8"?>
<calcChain xmlns="http://schemas.openxmlformats.org/spreadsheetml/2006/main">
  <c r="D11" i="11" l="1"/>
  <c r="D10" i="11"/>
  <c r="D9" i="11"/>
  <c r="D8" i="11"/>
  <c r="D7" i="11"/>
  <c r="J42" i="9" l="1"/>
  <c r="J14" i="9"/>
  <c r="J9" i="9"/>
  <c r="J13" i="9"/>
  <c r="F20" i="11"/>
  <c r="E94" i="12"/>
  <c r="E95" i="12"/>
  <c r="E84" i="12"/>
  <c r="E85" i="12"/>
  <c r="E74" i="12"/>
  <c r="E75" i="12"/>
  <c r="E65" i="12"/>
  <c r="E53" i="12"/>
  <c r="E54" i="12"/>
  <c r="E40" i="12"/>
  <c r="E41" i="12"/>
  <c r="J15" i="9" l="1"/>
  <c r="B90" i="12" l="1"/>
  <c r="C90" i="12" s="1"/>
  <c r="B70" i="12"/>
  <c r="E70" i="12" s="1"/>
  <c r="C70" i="12" l="1"/>
  <c r="E90" i="12"/>
  <c r="J21" i="9"/>
  <c r="J20" i="9"/>
  <c r="H22" i="9"/>
  <c r="F22" i="9"/>
  <c r="D17" i="12"/>
  <c r="B10" i="14" l="1"/>
  <c r="E92" i="12" l="1"/>
  <c r="C92" i="12"/>
  <c r="E93" i="12" l="1"/>
  <c r="E97" i="12" l="1"/>
  <c r="E98" i="12" s="1"/>
  <c r="E18" i="9" s="1"/>
  <c r="E22" i="9" s="1"/>
  <c r="C23" i="12" l="1"/>
  <c r="B23" i="12" l="1"/>
  <c r="E23" i="12"/>
  <c r="B24" i="13" l="1"/>
  <c r="C8" i="11" l="1"/>
  <c r="F8" i="11" s="1"/>
  <c r="D7" i="4"/>
  <c r="I41" i="9" l="1"/>
  <c r="I39" i="9" l="1"/>
  <c r="D19" i="16" l="1"/>
  <c r="D18" i="16"/>
  <c r="D16" i="16"/>
  <c r="J18" i="9" l="1"/>
  <c r="J17" i="9"/>
  <c r="J11" i="9"/>
  <c r="J10" i="9"/>
  <c r="J8" i="9"/>
  <c r="J76" i="9" l="1"/>
  <c r="D25" i="16" l="1"/>
  <c r="D24" i="16"/>
  <c r="D22" i="16"/>
  <c r="D21" i="16"/>
  <c r="D20" i="16"/>
  <c r="J80" i="9" l="1"/>
  <c r="J26" i="9"/>
  <c r="J32" i="9"/>
  <c r="J34" i="9"/>
  <c r="J35" i="9"/>
  <c r="J36" i="9"/>
  <c r="J37" i="9"/>
  <c r="J38" i="9"/>
  <c r="J40" i="9"/>
  <c r="J41" i="9"/>
  <c r="J43" i="9"/>
  <c r="J44" i="9"/>
  <c r="J45" i="9"/>
  <c r="J46" i="9"/>
  <c r="J47" i="9"/>
  <c r="J51" i="9"/>
  <c r="J53" i="9"/>
  <c r="J54" i="9"/>
  <c r="J55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5" i="9"/>
  <c r="J77" i="9"/>
  <c r="J78" i="9"/>
  <c r="J79" i="9"/>
  <c r="J81" i="9"/>
  <c r="J82" i="9"/>
  <c r="D9" i="12" l="1"/>
  <c r="G8" i="11" l="1"/>
  <c r="G12" i="11"/>
  <c r="I48" i="9" l="1"/>
  <c r="J48" i="9" s="1"/>
  <c r="I31" i="9"/>
  <c r="J31" i="9" s="1"/>
  <c r="B8" i="13"/>
  <c r="I49" i="9"/>
  <c r="J49" i="9" s="1"/>
  <c r="J74" i="9"/>
  <c r="I50" i="9"/>
  <c r="J39" i="9"/>
  <c r="I56" i="9"/>
  <c r="J56" i="9" s="1"/>
  <c r="B35" i="13"/>
  <c r="B31" i="13"/>
  <c r="B29" i="13"/>
  <c r="B26" i="13"/>
  <c r="B23" i="13"/>
  <c r="D17" i="16" s="1"/>
  <c r="B21" i="13"/>
  <c r="B19" i="13"/>
  <c r="D14" i="16"/>
  <c r="I33" i="9" l="1"/>
  <c r="J33" i="9" s="1"/>
  <c r="D8" i="16"/>
  <c r="D9" i="16" s="1"/>
  <c r="I29" i="9" l="1"/>
  <c r="C11" i="11"/>
  <c r="F11" i="11" s="1"/>
  <c r="G11" i="11" s="1"/>
  <c r="D11" i="12" l="1"/>
  <c r="D28" i="12" s="1"/>
  <c r="F29" i="9" s="1"/>
  <c r="D10" i="12"/>
  <c r="D6" i="12"/>
  <c r="D29" i="12" s="1"/>
  <c r="H29" i="9" s="1"/>
  <c r="D5" i="12"/>
  <c r="D27" i="12" s="1"/>
  <c r="D4" i="12"/>
  <c r="D26" i="12" s="1"/>
  <c r="D29" i="9" l="1"/>
  <c r="D30" i="12"/>
  <c r="B80" i="12"/>
  <c r="E80" i="12" s="1"/>
  <c r="B60" i="12"/>
  <c r="C60" i="12" s="1"/>
  <c r="E29" i="9" l="1"/>
  <c r="J29" i="9" s="1"/>
  <c r="E72" i="12"/>
  <c r="C80" i="12"/>
  <c r="B34" i="12"/>
  <c r="E60" i="12"/>
  <c r="B47" i="12"/>
  <c r="C47" i="12" s="1"/>
  <c r="E73" i="12" l="1"/>
  <c r="C34" i="12"/>
  <c r="D6" i="4"/>
  <c r="C17" i="12" l="1"/>
  <c r="C82" i="12"/>
  <c r="C72" i="12"/>
  <c r="E82" i="12" l="1"/>
  <c r="E83" i="12" l="1"/>
  <c r="E87" i="12" l="1"/>
  <c r="E20" i="12" s="1"/>
  <c r="E77" i="12"/>
  <c r="E17" i="12" l="1"/>
  <c r="C20" i="12"/>
  <c r="E78" i="12"/>
  <c r="E88" i="12"/>
  <c r="D16" i="9" s="1"/>
  <c r="B17" i="12" l="1"/>
  <c r="B20" i="12"/>
  <c r="J16" i="9"/>
  <c r="D19" i="9"/>
  <c r="D22" i="9" s="1"/>
  <c r="J19" i="9" l="1"/>
  <c r="B10" i="13"/>
  <c r="I12" i="9" s="1"/>
  <c r="B36" i="13"/>
  <c r="F13" i="11"/>
  <c r="D13" i="11"/>
  <c r="D15" i="11" s="1"/>
  <c r="H15" i="11" s="1"/>
  <c r="C10" i="11"/>
  <c r="F10" i="11" s="1"/>
  <c r="G10" i="11" s="1"/>
  <c r="C9" i="11"/>
  <c r="F9" i="11" s="1"/>
  <c r="G9" i="11" s="1"/>
  <c r="C7" i="11"/>
  <c r="F7" i="11" s="1"/>
  <c r="G7" i="11" s="1"/>
  <c r="C35" i="10"/>
  <c r="C10" i="10"/>
  <c r="J12" i="9" l="1"/>
  <c r="J22" i="9" s="1"/>
  <c r="I22" i="9"/>
  <c r="G15" i="11"/>
  <c r="B32" i="11"/>
  <c r="C15" i="10" s="1"/>
  <c r="F15" i="11"/>
  <c r="F18" i="11" l="1"/>
  <c r="F19" i="11"/>
  <c r="D23" i="16"/>
  <c r="B15" i="13"/>
  <c r="I52" i="9"/>
  <c r="J52" i="9" s="1"/>
  <c r="C13" i="10"/>
  <c r="F21" i="11"/>
  <c r="C14" i="10" s="1"/>
  <c r="D15" i="16" s="1"/>
  <c r="F17" i="11"/>
  <c r="E62" i="12"/>
  <c r="C62" i="12"/>
  <c r="E48" i="12"/>
  <c r="C48" i="12"/>
  <c r="E47" i="12"/>
  <c r="E35" i="12"/>
  <c r="C35" i="12"/>
  <c r="C37" i="12" s="1"/>
  <c r="E34" i="12"/>
  <c r="D12" i="16" l="1"/>
  <c r="G23" i="11"/>
  <c r="D13" i="16"/>
  <c r="I28" i="9"/>
  <c r="I30" i="9"/>
  <c r="B14" i="13"/>
  <c r="B13" i="13"/>
  <c r="C12" i="10"/>
  <c r="I25" i="9"/>
  <c r="C50" i="12"/>
  <c r="E50" i="12"/>
  <c r="F23" i="11"/>
  <c r="F32" i="11" s="1"/>
  <c r="E37" i="12"/>
  <c r="D17" i="4"/>
  <c r="D50" i="9" s="1"/>
  <c r="D9" i="4"/>
  <c r="D8" i="4"/>
  <c r="E52" i="12" l="1"/>
  <c r="E39" i="12"/>
  <c r="I83" i="9"/>
  <c r="D26" i="16"/>
  <c r="D28" i="16" s="1"/>
  <c r="E63" i="12"/>
  <c r="E64" i="12" s="1"/>
  <c r="J50" i="9"/>
  <c r="C16" i="10"/>
  <c r="C37" i="10" s="1"/>
  <c r="B12" i="13"/>
  <c r="B17" i="13" s="1"/>
  <c r="B38" i="13" s="1"/>
  <c r="D11" i="4"/>
  <c r="D27" i="9" l="1"/>
  <c r="J27" i="9" s="1"/>
  <c r="I85" i="9"/>
  <c r="E56" i="12"/>
  <c r="E57" i="12" s="1"/>
  <c r="C9" i="12"/>
  <c r="C11" i="12"/>
  <c r="C28" i="12" s="1"/>
  <c r="F28" i="9" s="1"/>
  <c r="C10" i="12"/>
  <c r="C6" i="12" l="1"/>
  <c r="C29" i="12" s="1"/>
  <c r="H28" i="9" s="1"/>
  <c r="C4" i="12"/>
  <c r="C5" i="12"/>
  <c r="C27" i="12" s="1"/>
  <c r="E43" i="12"/>
  <c r="C14" i="12"/>
  <c r="E67" i="12"/>
  <c r="E10" i="12"/>
  <c r="E9" i="12"/>
  <c r="E11" i="12"/>
  <c r="E28" i="12" s="1"/>
  <c r="F30" i="9" s="1"/>
  <c r="B10" i="12"/>
  <c r="B9" i="12"/>
  <c r="B11" i="12"/>
  <c r="C26" i="12" l="1"/>
  <c r="D28" i="9" s="1"/>
  <c r="E28" i="9"/>
  <c r="E4" i="12"/>
  <c r="E6" i="12"/>
  <c r="E29" i="12" s="1"/>
  <c r="H30" i="9" s="1"/>
  <c r="E5" i="12"/>
  <c r="E27" i="12" s="1"/>
  <c r="E45" i="12"/>
  <c r="E14" i="12"/>
  <c r="E68" i="12"/>
  <c r="B14" i="12" s="1"/>
  <c r="B28" i="12"/>
  <c r="F25" i="9" s="1"/>
  <c r="E26" i="12" l="1"/>
  <c r="D30" i="9" s="1"/>
  <c r="J28" i="9"/>
  <c r="C30" i="12"/>
  <c r="B5" i="12"/>
  <c r="B27" i="12" s="1"/>
  <c r="B6" i="12"/>
  <c r="B29" i="12" s="1"/>
  <c r="B4" i="12"/>
  <c r="B26" i="12" s="1"/>
  <c r="E30" i="9"/>
  <c r="H25" i="9" l="1"/>
  <c r="H83" i="9" s="1"/>
  <c r="H85" i="9" s="1"/>
  <c r="E30" i="12"/>
  <c r="J30" i="9"/>
  <c r="D25" i="9"/>
  <c r="D83" i="9" s="1"/>
  <c r="D85" i="9" s="1"/>
  <c r="B30" i="12"/>
  <c r="F83" i="9"/>
  <c r="F85" i="9" s="1"/>
  <c r="E25" i="9"/>
  <c r="F30" i="12" l="1"/>
  <c r="E83" i="9"/>
  <c r="E85" i="9" s="1"/>
  <c r="J25" i="9"/>
  <c r="J83" i="9" l="1"/>
  <c r="J85" i="9" s="1"/>
</calcChain>
</file>

<file path=xl/sharedStrings.xml><?xml version="1.0" encoding="utf-8"?>
<sst xmlns="http://schemas.openxmlformats.org/spreadsheetml/2006/main" count="411" uniqueCount="280">
  <si>
    <t>Pensjonsinnskudd og trekkpl.forsikr.ordning-fellesordningen</t>
  </si>
  <si>
    <t>Arbeidsgiveravgift</t>
  </si>
  <si>
    <t>Kjøregodtgjørelse</t>
  </si>
  <si>
    <t>Budsjett</t>
  </si>
  <si>
    <t>Møtegodtgjørelse</t>
  </si>
  <si>
    <t>Sum inntekter</t>
  </si>
  <si>
    <t>Sum lønns -og personalkostnader</t>
  </si>
  <si>
    <t>Revisjon</t>
  </si>
  <si>
    <t>Kontingenter</t>
  </si>
  <si>
    <t>Drivstoff og rekvisita</t>
  </si>
  <si>
    <t>Bevertning</t>
  </si>
  <si>
    <t>Over/underskudd</t>
  </si>
  <si>
    <t xml:space="preserve"> </t>
  </si>
  <si>
    <t>Årslønn</t>
  </si>
  <si>
    <t>x 11</t>
  </si>
  <si>
    <t>Serhiy</t>
  </si>
  <si>
    <t>Jan</t>
  </si>
  <si>
    <t>Søndagstillegg Jan, fast beløp</t>
  </si>
  <si>
    <t>Sum regulativlønn</t>
  </si>
  <si>
    <t>Gruppelivsforsikring</t>
  </si>
  <si>
    <t>Arbeidsgiveravgift 6,4 %</t>
  </si>
  <si>
    <t>Sum totalt lønn og personalkostnader</t>
  </si>
  <si>
    <t>Sum andre utgifter</t>
  </si>
  <si>
    <t>Interne</t>
  </si>
  <si>
    <t>kommentarer</t>
  </si>
  <si>
    <t>Utleieinntekter, festeavgifter graver</t>
  </si>
  <si>
    <t>Spes 1) Lønnsbudsjett</t>
  </si>
  <si>
    <t>Stillings</t>
  </si>
  <si>
    <t>størrelse</t>
  </si>
  <si>
    <t>lønn</t>
  </si>
  <si>
    <t>Måneds-</t>
  </si>
  <si>
    <t>Mnd.lønn</t>
  </si>
  <si>
    <t>Sum møtegodtgjørelse</t>
  </si>
  <si>
    <t>Ansatte</t>
  </si>
  <si>
    <t>Rådsmedlemmer</t>
  </si>
  <si>
    <t>Søndagstillegg Serhiy, fast beløp</t>
  </si>
  <si>
    <t>Møtegodtgj. NE Sokneråd (320 pr.møte x 5 medl, 5 møter)</t>
  </si>
  <si>
    <t>Leder Fellesrådet</t>
  </si>
  <si>
    <t>Leder Bruflat sokneråd</t>
  </si>
  <si>
    <t>Leder NE Sokneråd</t>
  </si>
  <si>
    <t>Arbeidsutvalgsmøter Bruflat sokn (320 pr. møte * 2 medl, 15 møter)</t>
  </si>
  <si>
    <t>Møtegodtgjørelse Bruflat sokn( 320 pr. møte * 7 medl, 15 møter)</t>
  </si>
  <si>
    <t>Kyrkja mi - trusopplæring i Valdres</t>
  </si>
  <si>
    <t>Sum kjøregodtgjørelse</t>
  </si>
  <si>
    <t>Grunnlønn</t>
  </si>
  <si>
    <t>Admin</t>
  </si>
  <si>
    <t>Kirker</t>
  </si>
  <si>
    <t>Kirke-</t>
  </si>
  <si>
    <t>Andre</t>
  </si>
  <si>
    <t>Totalt</t>
  </si>
  <si>
    <t>gårder</t>
  </si>
  <si>
    <t>Formål</t>
  </si>
  <si>
    <t>Art</t>
  </si>
  <si>
    <t>Inntekter</t>
  </si>
  <si>
    <t>Rammetilskudd Etnedal kommune</t>
  </si>
  <si>
    <t>Sum Driftsinntekter</t>
  </si>
  <si>
    <t>Utgifter</t>
  </si>
  <si>
    <t>11600</t>
  </si>
  <si>
    <t>11950</t>
  </si>
  <si>
    <t>11001</t>
  </si>
  <si>
    <t>Sum Driftsutgifter</t>
  </si>
  <si>
    <t>Brutto driftsresultat</t>
  </si>
  <si>
    <t>Jan Hagaseth – 100% kirketjener (delt på tjenester)</t>
  </si>
  <si>
    <t>1255 – 2%</t>
  </si>
  <si>
    <t>1260 – 38%</t>
  </si>
  <si>
    <t>Lønnsnøkkel:</t>
  </si>
  <si>
    <t>1255 – 30%</t>
  </si>
  <si>
    <t>1260 – 50%</t>
  </si>
  <si>
    <t>1270 – 20%</t>
  </si>
  <si>
    <t>Totalt per tjeneste:</t>
  </si>
  <si>
    <t>11303</t>
  </si>
  <si>
    <t>11800</t>
  </si>
  <si>
    <t>11850</t>
  </si>
  <si>
    <t>12400</t>
  </si>
  <si>
    <t>12701</t>
  </si>
  <si>
    <t>12700</t>
  </si>
  <si>
    <t>12950</t>
  </si>
  <si>
    <t>11701</t>
  </si>
  <si>
    <t>11400</t>
  </si>
  <si>
    <t>Helena</t>
  </si>
  <si>
    <t>Kvelds- og helge tillegg</t>
  </si>
  <si>
    <t>Tilskuddsbeløp fra staten</t>
  </si>
  <si>
    <t>Opplæringstiltak   </t>
  </si>
  <si>
    <t>Informasjon, annonsering mv.   </t>
  </si>
  <si>
    <t>Aktivitetsrelatert forbruksmateriell   </t>
  </si>
  <si>
    <t>Transport/reiseutgifter   </t>
  </si>
  <si>
    <t>Leie lokaler   </t>
  </si>
  <si>
    <t>Konsulenttjenester, herunder mentortjenesten   </t>
  </si>
  <si>
    <t>Annet   </t>
  </si>
  <si>
    <t>Art:</t>
  </si>
  <si>
    <t>Tjeneste: 1256</t>
  </si>
  <si>
    <t>Kurs, seminarer, konferanser</t>
  </si>
  <si>
    <t>(Trosopplæringskonferansen, andre kurs til ansatte/frivillige)</t>
  </si>
  <si>
    <t>Annonser ved ledige stillinger</t>
  </si>
  <si>
    <t>Annonser ved tiltak</t>
  </si>
  <si>
    <t>Utstyr til tiltak i fellesrådsområdene</t>
  </si>
  <si>
    <t>Kjøregodtgjørelser</t>
  </si>
  <si>
    <t>Bevertning ved aktiviteter/tiltak</t>
  </si>
  <si>
    <t>Bevertning ved møter (styringgruppe m.m)</t>
  </si>
  <si>
    <t>%</t>
  </si>
  <si>
    <t>Transport</t>
  </si>
  <si>
    <t>Ligger i spes 1)</t>
  </si>
  <si>
    <t>Se spes 1) (notater)</t>
  </si>
  <si>
    <t>Oppgave pliktige godtgjørelser (mobil og internett)</t>
  </si>
  <si>
    <t>Se spes 2)</t>
  </si>
  <si>
    <t>Spes 2) Godtgjørelser (mobil og internett)</t>
  </si>
  <si>
    <t>Lønn, feriepenger, gr.livsforsikring</t>
  </si>
  <si>
    <t>* Budsjettet er satt opp etter den gamle rapporteringsdelen på websiden for Størst av alt.</t>
  </si>
  <si>
    <t>Investeringsbudsjett for EKF</t>
  </si>
  <si>
    <t>Kr.</t>
  </si>
  <si>
    <t>11151</t>
  </si>
  <si>
    <t>Matvarer</t>
  </si>
  <si>
    <t>11150</t>
  </si>
  <si>
    <t>11500</t>
  </si>
  <si>
    <t>11202</t>
  </si>
  <si>
    <t>12001</t>
  </si>
  <si>
    <t>10100</t>
  </si>
  <si>
    <t>16301</t>
  </si>
  <si>
    <t>18300</t>
  </si>
  <si>
    <t>Trosopplæring</t>
  </si>
  <si>
    <t>10801</t>
  </si>
  <si>
    <t>16000</t>
  </si>
  <si>
    <t>10205</t>
  </si>
  <si>
    <t>10900</t>
  </si>
  <si>
    <t>Pensjonsinnskudd og trekkpl. forsikr.</t>
  </si>
  <si>
    <t>10907</t>
  </si>
  <si>
    <t>Ulykkes- og gruppelivsforsikring</t>
  </si>
  <si>
    <t>10990</t>
  </si>
  <si>
    <t>11000</t>
  </si>
  <si>
    <t>11002</t>
  </si>
  <si>
    <t>11003</t>
  </si>
  <si>
    <t>11100</t>
  </si>
  <si>
    <t>11101</t>
  </si>
  <si>
    <t>11103</t>
  </si>
  <si>
    <t>Kopiering - tjenesteytingsavtale</t>
  </si>
  <si>
    <t>EDB-utgifter - tjenesteytingsavtale</t>
  </si>
  <si>
    <t>Abonnementer og tidsskrifter</t>
  </si>
  <si>
    <t>Kirkemusikalsk arbeide</t>
  </si>
  <si>
    <t>Diakonalt arbeide</t>
  </si>
  <si>
    <t>Annet forbruksmateriell og tjenester</t>
  </si>
  <si>
    <t>11207</t>
  </si>
  <si>
    <t>11300</t>
  </si>
  <si>
    <t>11301</t>
  </si>
  <si>
    <t>11305</t>
  </si>
  <si>
    <t>11656</t>
  </si>
  <si>
    <t>Rengjøringsmateriell</t>
  </si>
  <si>
    <t>Porto - tjenesteytingsavtale</t>
  </si>
  <si>
    <t>Telefon - tjenesteytingsavtale</t>
  </si>
  <si>
    <t>Bank- og postgebyr</t>
  </si>
  <si>
    <t>Annonsering</t>
  </si>
  <si>
    <t>Opplæring og kurs</t>
  </si>
  <si>
    <t>Klesgodtgjøring</t>
  </si>
  <si>
    <t>11900</t>
  </si>
  <si>
    <t>12004</t>
  </si>
  <si>
    <t>Strøm/energi</t>
  </si>
  <si>
    <t>Husleie - tjenesteytingsavtale</t>
  </si>
  <si>
    <t>Avgifter, gebyrer, lisenser o.l.</t>
  </si>
  <si>
    <t>Utstyr</t>
  </si>
  <si>
    <t>Programvare - IKT</t>
  </si>
  <si>
    <t>12200</t>
  </si>
  <si>
    <t>Kjøp av maskiner</t>
  </si>
  <si>
    <t>12205</t>
  </si>
  <si>
    <t>12507</t>
  </si>
  <si>
    <t>12508</t>
  </si>
  <si>
    <t>12509</t>
  </si>
  <si>
    <t>12510</t>
  </si>
  <si>
    <t>12511</t>
  </si>
  <si>
    <t>12512</t>
  </si>
  <si>
    <t>12514</t>
  </si>
  <si>
    <t>12515</t>
  </si>
  <si>
    <t>12516</t>
  </si>
  <si>
    <t>12704</t>
  </si>
  <si>
    <t>12705</t>
  </si>
  <si>
    <t>Reparasjon av maskiner og utstyr</t>
  </si>
  <si>
    <t>Sikringstiltak - HMS</t>
  </si>
  <si>
    <t>ENØK-tiltak</t>
  </si>
  <si>
    <t>Bygningsvedlikehold Bruflat kyrkje</t>
  </si>
  <si>
    <t>Bygningsvedlikehold Nord-Etnedal kyrkje</t>
  </si>
  <si>
    <t>Utgifter Bruflat kyrkjegard</t>
  </si>
  <si>
    <t>Utgifter Nord-Etnedal kyrkjegard</t>
  </si>
  <si>
    <t>Materialer til vedlikehold</t>
  </si>
  <si>
    <t>Regnskapsførsel - tjenesteytingsavtale</t>
  </si>
  <si>
    <t>Byggeledelse</t>
  </si>
  <si>
    <t>Prosjektering - arkitekt</t>
  </si>
  <si>
    <t>16207</t>
  </si>
  <si>
    <t>16400</t>
  </si>
  <si>
    <t>16401</t>
  </si>
  <si>
    <t>Utleieinntekter</t>
  </si>
  <si>
    <t>16302</t>
  </si>
  <si>
    <t>Kommunale avgifter vann</t>
  </si>
  <si>
    <t>Kommunale avgifter kloakk</t>
  </si>
  <si>
    <t>16507</t>
  </si>
  <si>
    <t>Renovasjonsavgift/slamtømming</t>
  </si>
  <si>
    <t>Brukerbetaling kirkelige tjenester</t>
  </si>
  <si>
    <t>18500</t>
  </si>
  <si>
    <t>18109</t>
  </si>
  <si>
    <t>Statstilskudd (trosopplæring)</t>
  </si>
  <si>
    <t>11200</t>
  </si>
  <si>
    <t>Personalkostnader</t>
  </si>
  <si>
    <t>Feriepenger 12 %</t>
  </si>
  <si>
    <t>Feriepenger 14,3 %</t>
  </si>
  <si>
    <t>Tjeneste:</t>
  </si>
  <si>
    <t>Etnedal kyrkjelege fellesråd - ansvar 120</t>
  </si>
  <si>
    <t>Serhiy Bykov – 80 % organist (delt på tjenester)</t>
  </si>
  <si>
    <t>Marie, kirkeverge</t>
  </si>
  <si>
    <t>1265 – 60%</t>
  </si>
  <si>
    <t>1255 – 100 %</t>
  </si>
  <si>
    <t>Samlet</t>
  </si>
  <si>
    <t>Pensjon</t>
  </si>
  <si>
    <t xml:space="preserve">Lønn og sosiale utg. </t>
  </si>
  <si>
    <t>Kontorutgifter - tjenesteytingsavtale</t>
  </si>
  <si>
    <t>Driftsutgifter IKT - tjenesteytingsavtale</t>
  </si>
  <si>
    <t>Vikarer, inkl. organist</t>
  </si>
  <si>
    <t>11658</t>
  </si>
  <si>
    <t>Forsikringer og utgifter til vakthold/alarm</t>
  </si>
  <si>
    <t>Gravetjenester</t>
  </si>
  <si>
    <t>Oppgavepliktige godtgjørelser - tlf/it</t>
  </si>
  <si>
    <t>Webside m/domene og vedlikehold</t>
  </si>
  <si>
    <t>EDB-utgifter</t>
  </si>
  <si>
    <t>11150/11151</t>
  </si>
  <si>
    <t>10100/10907</t>
  </si>
  <si>
    <t>Bevertning ved aktiviteter/tiltak/møter</t>
  </si>
  <si>
    <t>Renhold i Tingnes kirke og evt leie til andre hus enn kirkens egne</t>
  </si>
  <si>
    <t>12703</t>
  </si>
  <si>
    <t>Konsulenttjenester, inkl. mentortjeneste</t>
  </si>
  <si>
    <t>13000</t>
  </si>
  <si>
    <t xml:space="preserve">Refusjoner - overføringer </t>
  </si>
  <si>
    <t>15600</t>
  </si>
  <si>
    <t>Styrking av likviditetsreserven</t>
  </si>
  <si>
    <t>Marie Bjørnødegård – 70 % daglig leder (delt på tjenester)</t>
  </si>
  <si>
    <t>1255 - 100 %</t>
  </si>
  <si>
    <t>Totalt i 2014</t>
  </si>
  <si>
    <t>Linda (Engasjement)</t>
  </si>
  <si>
    <t xml:space="preserve">Linda - 50 % </t>
  </si>
  <si>
    <t>Møtegodtgjørelse fellesrådet (320 pr. møte x 6 medl, 8 møter)</t>
  </si>
  <si>
    <t>Helena (Etnedal/ Sør- Aurdal)</t>
  </si>
  <si>
    <t>Kontorutgifter/ Utstyr</t>
  </si>
  <si>
    <t>Kontorhold/ Utstyr</t>
  </si>
  <si>
    <t>Pensjon KLP 18,38 %</t>
  </si>
  <si>
    <t>Tilskudd kontor / konsulent  (BS)</t>
  </si>
  <si>
    <t>11000/12001</t>
  </si>
  <si>
    <t>Utstyr/Kontorutgifter - tjenesteytingsavtale</t>
  </si>
  <si>
    <t>Marie Bjørnødegård</t>
  </si>
  <si>
    <t>Ellen (Øystre/ Nord Aurdal)</t>
  </si>
  <si>
    <t>Guro og Anne / Vang</t>
  </si>
  <si>
    <t>Budsjett lønn 2015 - tjeneste 1256</t>
  </si>
  <si>
    <t>Tilskudd menighetsarbeider (BS)</t>
  </si>
  <si>
    <t>Lønnsøkning 01.05.13, 5,5 % i 8 mnd.</t>
  </si>
  <si>
    <t>Spes 1) Møtegodtgjørelse (estimat)</t>
  </si>
  <si>
    <t>Spes 2) Kjøregodtgjørelse (estimat)</t>
  </si>
  <si>
    <t>Grunnlønn per 1.5.15</t>
  </si>
  <si>
    <t>Menighetsarbeider</t>
  </si>
  <si>
    <t>Klokker</t>
  </si>
  <si>
    <t>Tilskudd klokker (BS)</t>
  </si>
  <si>
    <t>Menighetsarbeider - 40%</t>
  </si>
  <si>
    <t>Ingen lokale tillegg</t>
  </si>
  <si>
    <t>Konfirmantopplæring</t>
  </si>
  <si>
    <t>Tilskudd konfirmantopplæring</t>
  </si>
  <si>
    <t>1260 - 100%</t>
  </si>
  <si>
    <t>Lønnsøkning 01.05.15, 3,5 % i 8 mnd.</t>
  </si>
  <si>
    <t>Gravlegat</t>
  </si>
  <si>
    <t>Bispevisitas 2017</t>
  </si>
  <si>
    <t>BUDSJETT 2017</t>
  </si>
  <si>
    <t>Budsjett 2017</t>
  </si>
  <si>
    <t>Kr i 2017:</t>
  </si>
  <si>
    <t xml:space="preserve">Snøbrøyting Nord- Etnedal </t>
  </si>
  <si>
    <t>Lønnsøkning 01.05.15, 2,9 % i 8 mnd.</t>
  </si>
  <si>
    <t>Pensjon KLP (18,64 %)</t>
  </si>
  <si>
    <t>Pensjon KLP (18,64%)</t>
  </si>
  <si>
    <t>Lønnsøkning 01.05.16, 2,9 % i 8 mnd.</t>
  </si>
  <si>
    <t>Ekstraordinært vedlikehold ved Bruflat kyrkje</t>
  </si>
  <si>
    <t>Tilskudd fra Etnedal kommune - adm (tjenesteytingsavtalen)</t>
  </si>
  <si>
    <t>Tilskudd fra Etnedal kommune - kyrkjegard (tjenesteytingsavtalen)</t>
  </si>
  <si>
    <t>Salg av tjenester til Etnedal kommune (tjenesteytingsavtalen)</t>
  </si>
  <si>
    <t>11204</t>
  </si>
  <si>
    <t>Kjøp av tjenester fra Etnedal kommune</t>
  </si>
  <si>
    <t>Bruk av disp fond</t>
  </si>
  <si>
    <t>Tilskudd bispevisitas 2017 (BS)</t>
  </si>
  <si>
    <t>Nye ovner i Nord- Etnedal kyrkje</t>
  </si>
  <si>
    <t>Vestre Slidre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</si>
</sst>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i/>
      <sz val="11"/>
      <name val="Calibri"/>
      <family val="2"/>
      <scheme val="minor"/>
    </font>
    <font>
      <sz val="10"/>
      <name val="Arial Narrow"/>
      <family val="2"/>
    </font>
    <font>
      <sz val="10"/>
      <name val="AngsanaUPC"/>
      <family val="1"/>
    </font>
    <font>
      <sz val="9"/>
      <name val="Arial"/>
      <family val="2"/>
    </font>
    <font>
      <b/>
      <sz val="14"/>
      <name val="Times New Roman"/>
      <family val="1"/>
    </font>
    <font>
      <i/>
      <sz val="11"/>
      <name val="Calibri"/>
      <family val="2"/>
      <scheme val="minor"/>
    </font>
    <font>
      <b/>
      <u/>
      <sz val="10"/>
      <name val="Times New Roman"/>
      <family val="1"/>
    </font>
    <font>
      <i/>
      <sz val="10"/>
      <name val="Arial Narrow"/>
      <family val="2"/>
    </font>
    <font>
      <sz val="10"/>
      <color theme="4"/>
      <name val="Arial"/>
      <family val="2"/>
    </font>
    <font>
      <b/>
      <sz val="9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10" fontId="10" fillId="0" borderId="0" xfId="0" applyNumberFormat="1" applyFont="1"/>
    <xf numFmtId="0" fontId="12" fillId="0" borderId="0" xfId="0" applyFont="1"/>
    <xf numFmtId="3" fontId="11" fillId="0" borderId="0" xfId="0" applyNumberFormat="1" applyFont="1"/>
    <xf numFmtId="3" fontId="11" fillId="0" borderId="3" xfId="0" applyNumberFormat="1" applyFont="1" applyBorder="1"/>
    <xf numFmtId="0" fontId="12" fillId="0" borderId="0" xfId="0" quotePrefix="1" applyFont="1"/>
    <xf numFmtId="3" fontId="10" fillId="0" borderId="3" xfId="0" applyNumberFormat="1" applyFont="1" applyBorder="1"/>
    <xf numFmtId="0" fontId="3" fillId="0" borderId="0" xfId="0" applyFont="1"/>
    <xf numFmtId="0" fontId="14" fillId="0" borderId="0" xfId="0" applyFont="1"/>
    <xf numFmtId="0" fontId="0" fillId="0" borderId="0" xfId="0" applyFont="1"/>
    <xf numFmtId="0" fontId="15" fillId="0" borderId="0" xfId="1" applyFont="1"/>
    <xf numFmtId="0" fontId="16" fillId="0" borderId="0" xfId="1" applyFont="1" applyAlignment="1">
      <alignment horizontal="center"/>
    </xf>
    <xf numFmtId="49" fontId="16" fillId="0" borderId="0" xfId="1" applyNumberFormat="1" applyFont="1" applyAlignment="1">
      <alignment horizontal="center"/>
    </xf>
    <xf numFmtId="0" fontId="17" fillId="0" borderId="0" xfId="1" applyFont="1" applyBorder="1" applyAlignment="1">
      <alignment horizontal="center"/>
    </xf>
    <xf numFmtId="49" fontId="15" fillId="0" borderId="0" xfId="1" applyNumberFormat="1" applyFont="1" applyAlignment="1" applyProtection="1">
      <alignment horizontal="center"/>
      <protection locked="0"/>
    </xf>
    <xf numFmtId="4" fontId="16" fillId="0" borderId="3" xfId="1" applyNumberFormat="1" applyFont="1" applyBorder="1" applyAlignment="1" applyProtection="1">
      <alignment horizontal="center"/>
      <protection locked="0"/>
    </xf>
    <xf numFmtId="49" fontId="16" fillId="0" borderId="3" xfId="1" applyNumberFormat="1" applyFont="1" applyBorder="1" applyAlignment="1" applyProtection="1">
      <alignment horizontal="center"/>
      <protection locked="0"/>
    </xf>
    <xf numFmtId="3" fontId="16" fillId="0" borderId="3" xfId="1" applyNumberFormat="1" applyFont="1" applyBorder="1" applyAlignment="1" applyProtection="1">
      <alignment horizontal="center"/>
      <protection locked="0"/>
    </xf>
    <xf numFmtId="0" fontId="16" fillId="0" borderId="3" xfId="1" quotePrefix="1" applyNumberFormat="1" applyFont="1" applyBorder="1" applyAlignment="1" applyProtection="1">
      <alignment horizontal="center"/>
      <protection locked="0"/>
    </xf>
    <xf numFmtId="0" fontId="17" fillId="0" borderId="0" xfId="1" quotePrefix="1" applyNumberFormat="1" applyFont="1" applyBorder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4" fontId="18" fillId="0" borderId="0" xfId="1" applyNumberFormat="1" applyFont="1" applyProtection="1">
      <protection locked="0"/>
    </xf>
    <xf numFmtId="49" fontId="18" fillId="0" borderId="0" xfId="1" applyNumberFormat="1" applyFont="1" applyAlignment="1" applyProtection="1">
      <alignment horizontal="center"/>
      <protection locked="0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1" applyNumberFormat="1" applyFont="1" applyProtection="1">
      <protection locked="0"/>
    </xf>
    <xf numFmtId="3" fontId="19" fillId="0" borderId="0" xfId="1" applyNumberFormat="1" applyFont="1" applyBorder="1" applyProtection="1">
      <protection locked="0"/>
    </xf>
    <xf numFmtId="4" fontId="15" fillId="0" borderId="0" xfId="1" applyNumberFormat="1" applyFont="1" applyProtection="1">
      <protection locked="0"/>
    </xf>
    <xf numFmtId="0" fontId="15" fillId="0" borderId="0" xfId="0" applyFont="1" applyBorder="1"/>
    <xf numFmtId="3" fontId="15" fillId="0" borderId="0" xfId="0" applyNumberFormat="1" applyFont="1"/>
    <xf numFmtId="3" fontId="19" fillId="0" borderId="0" xfId="1" applyNumberFormat="1" applyFont="1" applyBorder="1" applyAlignment="1" applyProtection="1">
      <alignment horizontal="right"/>
      <protection locked="0"/>
    </xf>
    <xf numFmtId="0" fontId="15" fillId="0" borderId="0" xfId="0" applyFont="1"/>
    <xf numFmtId="4" fontId="18" fillId="0" borderId="1" xfId="1" applyNumberFormat="1" applyFont="1" applyBorder="1" applyProtection="1">
      <protection locked="0"/>
    </xf>
    <xf numFmtId="49" fontId="18" fillId="0" borderId="1" xfId="1" applyNumberFormat="1" applyFont="1" applyBorder="1" applyAlignment="1" applyProtection="1">
      <alignment horizontal="center"/>
      <protection locked="0"/>
    </xf>
    <xf numFmtId="3" fontId="15" fillId="0" borderId="1" xfId="1" applyNumberFormat="1" applyFont="1" applyBorder="1" applyAlignment="1" applyProtection="1">
      <alignment horizontal="right"/>
      <protection locked="0"/>
    </xf>
    <xf numFmtId="0" fontId="15" fillId="0" borderId="0" xfId="0" applyFont="1" applyFill="1" applyBorder="1"/>
    <xf numFmtId="4" fontId="18" fillId="0" borderId="5" xfId="1" applyNumberFormat="1" applyFont="1" applyBorder="1" applyProtection="1">
      <protection locked="0"/>
    </xf>
    <xf numFmtId="49" fontId="18" fillId="0" borderId="5" xfId="1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1" fontId="10" fillId="0" borderId="0" xfId="0" applyNumberFormat="1" applyFont="1"/>
    <xf numFmtId="0" fontId="3" fillId="0" borderId="0" xfId="0" applyFont="1" applyBorder="1"/>
    <xf numFmtId="3" fontId="3" fillId="0" borderId="0" xfId="0" applyNumberFormat="1" applyFont="1"/>
    <xf numFmtId="0" fontId="3" fillId="0" borderId="0" xfId="0" applyFont="1" applyFill="1" applyBorder="1"/>
    <xf numFmtId="0" fontId="1" fillId="2" borderId="0" xfId="0" applyFont="1" applyFill="1" applyBorder="1"/>
    <xf numFmtId="3" fontId="1" fillId="2" borderId="4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2" borderId="1" xfId="0" applyNumberFormat="1" applyFont="1" applyFill="1" applyBorder="1"/>
    <xf numFmtId="0" fontId="3" fillId="3" borderId="0" xfId="0" applyFont="1" applyFill="1" applyBorder="1"/>
    <xf numFmtId="0" fontId="1" fillId="4" borderId="0" xfId="0" applyFont="1" applyFill="1" applyBorder="1"/>
    <xf numFmtId="3" fontId="1" fillId="4" borderId="1" xfId="0" applyNumberFormat="1" applyFont="1" applyFill="1" applyBorder="1"/>
    <xf numFmtId="0" fontId="3" fillId="0" borderId="3" xfId="0" applyFont="1" applyBorder="1"/>
    <xf numFmtId="0" fontId="0" fillId="0" borderId="3" xfId="0" applyBorder="1"/>
    <xf numFmtId="0" fontId="1" fillId="2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Border="1" applyAlignment="1">
      <alignment horizontal="right"/>
    </xf>
    <xf numFmtId="2" fontId="3" fillId="0" borderId="3" xfId="0" applyNumberFormat="1" applyFont="1" applyBorder="1"/>
    <xf numFmtId="0" fontId="3" fillId="0" borderId="1" xfId="0" applyFont="1" applyBorder="1"/>
    <xf numFmtId="0" fontId="21" fillId="0" borderId="0" xfId="0" applyFont="1" applyAlignment="1">
      <alignment horizontal="center"/>
    </xf>
    <xf numFmtId="49" fontId="21" fillId="0" borderId="0" xfId="1" applyNumberFormat="1" applyFont="1" applyAlignment="1" applyProtection="1">
      <alignment horizontal="center"/>
      <protection locked="0"/>
    </xf>
    <xf numFmtId="0" fontId="21" fillId="0" borderId="0" xfId="1" applyNumberFormat="1" applyFont="1" applyBorder="1" applyAlignment="1" applyProtection="1">
      <alignment horizontal="center"/>
      <protection locked="0"/>
    </xf>
    <xf numFmtId="0" fontId="21" fillId="0" borderId="0" xfId="0" applyNumberFormat="1" applyFont="1" applyAlignment="1">
      <alignment horizontal="center"/>
    </xf>
    <xf numFmtId="0" fontId="21" fillId="0" borderId="0" xfId="1" applyNumberFormat="1" applyFont="1" applyAlignment="1" applyProtection="1">
      <alignment horizontal="center"/>
      <protection locked="0"/>
    </xf>
    <xf numFmtId="49" fontId="21" fillId="0" borderId="0" xfId="1" applyNumberFormat="1" applyFont="1" applyBorder="1" applyAlignment="1" applyProtection="1">
      <alignment horizontal="center"/>
      <protection locked="0"/>
    </xf>
    <xf numFmtId="0" fontId="11" fillId="0" borderId="1" xfId="0" applyFont="1" applyBorder="1"/>
    <xf numFmtId="0" fontId="22" fillId="0" borderId="0" xfId="0" applyFont="1"/>
    <xf numFmtId="0" fontId="3" fillId="0" borderId="2" xfId="1" applyFont="1" applyBorder="1"/>
    <xf numFmtId="0" fontId="3" fillId="0" borderId="3" xfId="1" applyFont="1" applyBorder="1"/>
    <xf numFmtId="2" fontId="0" fillId="0" borderId="0" xfId="0" applyNumberFormat="1"/>
    <xf numFmtId="2" fontId="1" fillId="0" borderId="1" xfId="0" applyNumberFormat="1" applyFont="1" applyBorder="1"/>
    <xf numFmtId="49" fontId="23" fillId="0" borderId="0" xfId="1" applyNumberFormat="1" applyFont="1" applyAlignment="1" applyProtection="1">
      <alignment horizontal="center"/>
      <protection locked="0"/>
    </xf>
    <xf numFmtId="4" fontId="23" fillId="0" borderId="0" xfId="1" applyNumberFormat="1" applyFont="1" applyProtection="1">
      <protection locked="0"/>
    </xf>
    <xf numFmtId="0" fontId="11" fillId="7" borderId="0" xfId="0" applyFont="1" applyFill="1"/>
    <xf numFmtId="3" fontId="10" fillId="7" borderId="0" xfId="0" applyNumberFormat="1" applyFont="1" applyFill="1"/>
    <xf numFmtId="10" fontId="10" fillId="7" borderId="0" xfId="0" applyNumberFormat="1" applyFont="1" applyFill="1"/>
    <xf numFmtId="0" fontId="0" fillId="7" borderId="0" xfId="0" applyFill="1"/>
    <xf numFmtId="0" fontId="10" fillId="7" borderId="0" xfId="0" applyFont="1" applyFill="1"/>
    <xf numFmtId="0" fontId="2" fillId="7" borderId="0" xfId="0" applyFont="1" applyFill="1"/>
    <xf numFmtId="3" fontId="11" fillId="7" borderId="0" xfId="0" applyNumberFormat="1" applyFont="1" applyFill="1"/>
    <xf numFmtId="3" fontId="11" fillId="7" borderId="3" xfId="0" applyNumberFormat="1" applyFont="1" applyFill="1" applyBorder="1"/>
    <xf numFmtId="3" fontId="11" fillId="7" borderId="0" xfId="0" applyNumberFormat="1" applyFont="1" applyFill="1" applyBorder="1"/>
    <xf numFmtId="0" fontId="1" fillId="7" borderId="0" xfId="0" applyFont="1" applyFill="1"/>
    <xf numFmtId="0" fontId="12" fillId="7" borderId="0" xfId="0" quotePrefix="1" applyFont="1" applyFill="1"/>
    <xf numFmtId="3" fontId="10" fillId="7" borderId="3" xfId="0" applyNumberFormat="1" applyFont="1" applyFill="1" applyBorder="1"/>
    <xf numFmtId="0" fontId="11" fillId="8" borderId="0" xfId="0" applyFont="1" applyFill="1"/>
    <xf numFmtId="3" fontId="10" fillId="8" borderId="0" xfId="0" applyNumberFormat="1" applyFont="1" applyFill="1"/>
    <xf numFmtId="10" fontId="10" fillId="8" borderId="0" xfId="0" applyNumberFormat="1" applyFont="1" applyFill="1"/>
    <xf numFmtId="0" fontId="0" fillId="8" borderId="0" xfId="0" applyFill="1"/>
    <xf numFmtId="0" fontId="10" fillId="8" borderId="0" xfId="0" applyFont="1" applyFill="1"/>
    <xf numFmtId="3" fontId="11" fillId="8" borderId="0" xfId="0" applyNumberFormat="1" applyFont="1" applyFill="1"/>
    <xf numFmtId="3" fontId="11" fillId="8" borderId="3" xfId="0" applyNumberFormat="1" applyFont="1" applyFill="1" applyBorder="1"/>
    <xf numFmtId="0" fontId="12" fillId="8" borderId="0" xfId="0" quotePrefix="1" applyFont="1" applyFill="1"/>
    <xf numFmtId="3" fontId="10" fillId="8" borderId="3" xfId="0" applyNumberFormat="1" applyFont="1" applyFill="1" applyBorder="1"/>
    <xf numFmtId="0" fontId="11" fillId="9" borderId="0" xfId="0" applyFont="1" applyFill="1"/>
    <xf numFmtId="3" fontId="10" fillId="9" borderId="0" xfId="0" applyNumberFormat="1" applyFont="1" applyFill="1"/>
    <xf numFmtId="10" fontId="10" fillId="9" borderId="0" xfId="0" applyNumberFormat="1" applyFont="1" applyFill="1"/>
    <xf numFmtId="0" fontId="10" fillId="9" borderId="0" xfId="0" applyFont="1" applyFill="1"/>
    <xf numFmtId="0" fontId="0" fillId="9" borderId="0" xfId="0" applyFill="1"/>
    <xf numFmtId="3" fontId="11" fillId="9" borderId="0" xfId="0" applyNumberFormat="1" applyFont="1" applyFill="1"/>
    <xf numFmtId="3" fontId="11" fillId="9" borderId="3" xfId="0" applyNumberFormat="1" applyFont="1" applyFill="1" applyBorder="1"/>
    <xf numFmtId="0" fontId="20" fillId="9" borderId="0" xfId="0" applyFont="1" applyFill="1"/>
    <xf numFmtId="3" fontId="10" fillId="9" borderId="3" xfId="0" applyNumberFormat="1" applyFont="1" applyFill="1" applyBorder="1"/>
    <xf numFmtId="0" fontId="11" fillId="10" borderId="0" xfId="0" applyFont="1" applyFill="1"/>
    <xf numFmtId="3" fontId="10" fillId="10" borderId="0" xfId="0" applyNumberFormat="1" applyFont="1" applyFill="1"/>
    <xf numFmtId="10" fontId="10" fillId="10" borderId="0" xfId="0" applyNumberFormat="1" applyFont="1" applyFill="1"/>
    <xf numFmtId="0" fontId="10" fillId="10" borderId="0" xfId="0" applyFont="1" applyFill="1"/>
    <xf numFmtId="0" fontId="0" fillId="10" borderId="0" xfId="0" applyFill="1"/>
    <xf numFmtId="3" fontId="11" fillId="10" borderId="0" xfId="0" applyNumberFormat="1" applyFont="1" applyFill="1"/>
    <xf numFmtId="3" fontId="11" fillId="10" borderId="3" xfId="0" applyNumberFormat="1" applyFont="1" applyFill="1" applyBorder="1"/>
    <xf numFmtId="0" fontId="20" fillId="10" borderId="0" xfId="0" applyFont="1" applyFill="1"/>
    <xf numFmtId="3" fontId="10" fillId="10" borderId="3" xfId="0" applyNumberFormat="1" applyFont="1" applyFill="1" applyBorder="1"/>
    <xf numFmtId="0" fontId="11" fillId="11" borderId="0" xfId="0" applyFont="1" applyFill="1"/>
    <xf numFmtId="3" fontId="10" fillId="11" borderId="0" xfId="0" applyNumberFormat="1" applyFont="1" applyFill="1"/>
    <xf numFmtId="10" fontId="10" fillId="11" borderId="0" xfId="0" applyNumberFormat="1" applyFont="1" applyFill="1"/>
    <xf numFmtId="0" fontId="10" fillId="11" borderId="0" xfId="0" applyFont="1" applyFill="1"/>
    <xf numFmtId="0" fontId="0" fillId="11" borderId="0" xfId="0" applyFill="1"/>
    <xf numFmtId="3" fontId="11" fillId="11" borderId="0" xfId="0" applyNumberFormat="1" applyFont="1" applyFill="1"/>
    <xf numFmtId="3" fontId="11" fillId="11" borderId="3" xfId="0" applyNumberFormat="1" applyFont="1" applyFill="1" applyBorder="1"/>
    <xf numFmtId="0" fontId="20" fillId="11" borderId="0" xfId="0" applyFont="1" applyFill="1"/>
    <xf numFmtId="3" fontId="10" fillId="11" borderId="3" xfId="0" applyNumberFormat="1" applyFont="1" applyFill="1" applyBorder="1"/>
    <xf numFmtId="0" fontId="24" fillId="9" borderId="0" xfId="0" applyFont="1" applyFill="1"/>
    <xf numFmtId="0" fontId="24" fillId="11" borderId="0" xfId="0" applyFont="1" applyFill="1"/>
    <xf numFmtId="0" fontId="24" fillId="10" borderId="0" xfId="0" applyFont="1" applyFill="1"/>
    <xf numFmtId="0" fontId="24" fillId="8" borderId="0" xfId="0" applyFont="1" applyFill="1"/>
    <xf numFmtId="0" fontId="24" fillId="7" borderId="0" xfId="0" applyFont="1" applyFill="1"/>
    <xf numFmtId="0" fontId="1" fillId="0" borderId="0" xfId="0" applyFont="1" applyAlignment="1">
      <alignment horizontal="center"/>
    </xf>
    <xf numFmtId="1" fontId="15" fillId="0" borderId="0" xfId="0" applyNumberFormat="1" applyFont="1"/>
    <xf numFmtId="3" fontId="10" fillId="0" borderId="0" xfId="0" applyNumberFormat="1" applyFont="1" applyAlignment="1">
      <alignment vertical="center"/>
    </xf>
    <xf numFmtId="3" fontId="10" fillId="0" borderId="1" xfId="0" applyNumberFormat="1" applyFont="1" applyBorder="1"/>
    <xf numFmtId="3" fontId="25" fillId="0" borderId="0" xfId="1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3" fillId="0" borderId="0" xfId="1" applyFont="1" applyBorder="1"/>
    <xf numFmtId="2" fontId="0" fillId="0" borderId="0" xfId="0" applyNumberFormat="1" applyBorder="1" applyAlignment="1">
      <alignment horizontal="right"/>
    </xf>
    <xf numFmtId="3" fontId="3" fillId="6" borderId="0" xfId="0" applyNumberFormat="1" applyFont="1" applyFill="1"/>
    <xf numFmtId="49" fontId="15" fillId="0" borderId="0" xfId="1" applyNumberFormat="1" applyFont="1" applyBorder="1" applyAlignment="1" applyProtection="1">
      <alignment horizontal="center"/>
      <protection locked="0"/>
    </xf>
    <xf numFmtId="2" fontId="0" fillId="6" borderId="0" xfId="0" applyNumberFormat="1" applyFill="1" applyBorder="1" applyAlignment="1">
      <alignment horizontal="right"/>
    </xf>
    <xf numFmtId="2" fontId="0" fillId="6" borderId="3" xfId="0" applyNumberFormat="1" applyFill="1" applyBorder="1" applyAlignment="1">
      <alignment horizontal="right"/>
    </xf>
    <xf numFmtId="2" fontId="3" fillId="6" borderId="3" xfId="0" applyNumberFormat="1" applyFont="1" applyFill="1" applyBorder="1"/>
    <xf numFmtId="2" fontId="0" fillId="0" borderId="2" xfId="0" applyNumberFormat="1" applyBorder="1" applyAlignment="1"/>
    <xf numFmtId="2" fontId="0" fillId="0" borderId="3" xfId="0" applyNumberFormat="1" applyBorder="1" applyAlignment="1"/>
    <xf numFmtId="2" fontId="0" fillId="0" borderId="2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6" borderId="2" xfId="0" applyNumberFormat="1" applyFill="1" applyBorder="1" applyAlignment="1"/>
    <xf numFmtId="2" fontId="0" fillId="6" borderId="3" xfId="0" applyNumberFormat="1" applyFill="1" applyBorder="1" applyAlignment="1"/>
    <xf numFmtId="2" fontId="3" fillId="6" borderId="2" xfId="0" applyNumberFormat="1" applyFont="1" applyFill="1" applyBorder="1" applyAlignment="1"/>
    <xf numFmtId="2" fontId="3" fillId="6" borderId="3" xfId="0" applyNumberFormat="1" applyFont="1" applyFill="1" applyBorder="1" applyAlignment="1"/>
    <xf numFmtId="3" fontId="5" fillId="6" borderId="0" xfId="0" applyNumberFormat="1" applyFont="1" applyFill="1"/>
    <xf numFmtId="1" fontId="0" fillId="0" borderId="0" xfId="0" applyNumberFormat="1"/>
    <xf numFmtId="3" fontId="15" fillId="0" borderId="0" xfId="1" applyNumberFormat="1" applyFont="1" applyFill="1" applyBorder="1" applyAlignment="1" applyProtection="1">
      <alignment horizontal="right"/>
    </xf>
    <xf numFmtId="3" fontId="0" fillId="8" borderId="0" xfId="0" applyNumberFormat="1" applyFill="1"/>
    <xf numFmtId="3" fontId="16" fillId="0" borderId="5" xfId="1" applyNumberFormat="1" applyFont="1" applyBorder="1" applyAlignment="1" applyProtection="1">
      <alignment horizontal="right"/>
    </xf>
    <xf numFmtId="4" fontId="16" fillId="0" borderId="0" xfId="1" applyNumberFormat="1" applyFont="1" applyProtection="1">
      <protection locked="0"/>
    </xf>
    <xf numFmtId="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2" fontId="15" fillId="0" borderId="0" xfId="0" applyNumberFormat="1" applyFont="1"/>
    <xf numFmtId="3" fontId="15" fillId="0" borderId="0" xfId="0" quotePrefix="1" applyNumberFormat="1" applyFont="1"/>
    <xf numFmtId="0" fontId="1" fillId="11" borderId="0" xfId="0" applyFont="1" applyFill="1"/>
    <xf numFmtId="0" fontId="1" fillId="10" borderId="0" xfId="0" applyFont="1" applyFill="1"/>
    <xf numFmtId="0" fontId="1" fillId="9" borderId="0" xfId="0" applyFont="1" applyFill="1"/>
    <xf numFmtId="1" fontId="13" fillId="0" borderId="0" xfId="0" applyNumberFormat="1" applyFont="1"/>
    <xf numFmtId="0" fontId="26" fillId="0" borderId="0" xfId="0" applyFont="1"/>
    <xf numFmtId="2" fontId="26" fillId="0" borderId="0" xfId="0" applyNumberFormat="1" applyFont="1"/>
    <xf numFmtId="3" fontId="19" fillId="6" borderId="0" xfId="1" applyNumberFormat="1" applyFont="1" applyFill="1" applyBorder="1" applyAlignment="1" applyProtection="1">
      <alignment horizontal="right"/>
      <protection locked="0"/>
    </xf>
    <xf numFmtId="3" fontId="0" fillId="6" borderId="0" xfId="0" quotePrefix="1" applyNumberFormat="1" applyFill="1"/>
    <xf numFmtId="0" fontId="0" fillId="6" borderId="0" xfId="0" applyFill="1"/>
    <xf numFmtId="3" fontId="0" fillId="6" borderId="0" xfId="0" applyNumberFormat="1" applyFill="1"/>
    <xf numFmtId="0" fontId="3" fillId="6" borderId="0" xfId="0" applyFont="1" applyFill="1"/>
    <xf numFmtId="1" fontId="15" fillId="0" borderId="0" xfId="1" applyNumberFormat="1" applyFont="1" applyAlignment="1" applyProtection="1">
      <alignment horizontal="right"/>
      <protection locked="0"/>
    </xf>
    <xf numFmtId="1" fontId="15" fillId="0" borderId="0" xfId="0" applyNumberFormat="1" applyFont="1" applyBorder="1"/>
    <xf numFmtId="1" fontId="15" fillId="0" borderId="1" xfId="1" applyNumberFormat="1" applyFont="1" applyBorder="1" applyAlignment="1" applyProtection="1">
      <alignment horizontal="right"/>
      <protection locked="0"/>
    </xf>
    <xf numFmtId="1" fontId="15" fillId="0" borderId="0" xfId="1" applyNumberFormat="1" applyFont="1" applyProtection="1">
      <protection locked="0"/>
    </xf>
    <xf numFmtId="1" fontId="23" fillId="0" borderId="0" xfId="1" applyNumberFormat="1" applyFont="1" applyAlignment="1" applyProtection="1">
      <alignment horizontal="right"/>
      <protection locked="0"/>
    </xf>
    <xf numFmtId="1" fontId="23" fillId="0" borderId="0" xfId="0" applyNumberFormat="1" applyFont="1"/>
    <xf numFmtId="1" fontId="16" fillId="0" borderId="0" xfId="1" applyNumberFormat="1" applyFont="1" applyAlignment="1" applyProtection="1">
      <alignment horizontal="right"/>
      <protection locked="0"/>
    </xf>
    <xf numFmtId="1" fontId="16" fillId="0" borderId="0" xfId="0" applyNumberFormat="1" applyFont="1"/>
    <xf numFmtId="1" fontId="16" fillId="0" borderId="5" xfId="1" applyNumberFormat="1" applyFont="1" applyBorder="1" applyAlignment="1" applyProtection="1">
      <alignment horizontal="right"/>
      <protection locked="0"/>
    </xf>
    <xf numFmtId="1" fontId="16" fillId="0" borderId="5" xfId="1" applyNumberFormat="1" applyFont="1" applyBorder="1" applyAlignment="1" applyProtection="1">
      <alignment horizontal="right"/>
    </xf>
    <xf numFmtId="3" fontId="1" fillId="0" borderId="0" xfId="0" applyNumberFormat="1" applyFont="1"/>
    <xf numFmtId="3" fontId="27" fillId="0" borderId="0" xfId="1" applyNumberFormat="1" applyFont="1" applyBorder="1" applyAlignment="1" applyProtection="1">
      <alignment horizontal="right"/>
      <protection locked="0"/>
    </xf>
    <xf numFmtId="0" fontId="16" fillId="0" borderId="0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"/>
  <sheetViews>
    <sheetView topLeftCell="A68" workbookViewId="0">
      <selection activeCell="B11" sqref="B11"/>
    </sheetView>
  </sheetViews>
  <sheetFormatPr baseColWidth="10" defaultRowHeight="12.75" x14ac:dyDescent="0.2"/>
  <cols>
    <col min="1" max="1" width="20.7109375" customWidth="1"/>
    <col min="2" max="2" width="59.85546875" customWidth="1"/>
    <col min="3" max="3" width="2.42578125" customWidth="1"/>
    <col min="9" max="9" width="13.85546875" bestFit="1" customWidth="1"/>
    <col min="11" max="11" width="42.7109375" customWidth="1"/>
  </cols>
  <sheetData>
    <row r="1" spans="1:20" ht="21" x14ac:dyDescent="0.35">
      <c r="A1" s="23" t="s">
        <v>262</v>
      </c>
      <c r="B1" s="24"/>
      <c r="C1" s="24"/>
      <c r="D1" s="24"/>
      <c r="E1" s="24"/>
      <c r="F1" s="24"/>
      <c r="G1" s="24"/>
      <c r="H1" s="24"/>
      <c r="I1" s="24"/>
      <c r="J1" s="175"/>
    </row>
    <row r="2" spans="1:20" x14ac:dyDescent="0.2">
      <c r="A2" s="22" t="s">
        <v>202</v>
      </c>
      <c r="B2" s="24"/>
      <c r="C2" s="24"/>
      <c r="D2" s="24"/>
      <c r="E2" s="24"/>
      <c r="F2" s="24"/>
      <c r="G2" s="24"/>
      <c r="H2" s="24"/>
      <c r="I2" s="24"/>
      <c r="J2" s="24"/>
    </row>
    <row r="3" spans="1:20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20" x14ac:dyDescent="0.2">
      <c r="A4" s="24"/>
      <c r="B4" s="1" t="s">
        <v>201</v>
      </c>
      <c r="C4" s="24"/>
      <c r="D4" s="145">
        <v>1255</v>
      </c>
      <c r="E4" s="145">
        <v>1260</v>
      </c>
      <c r="F4" s="145">
        <v>1265</v>
      </c>
      <c r="G4" s="145">
        <v>1266</v>
      </c>
      <c r="H4" s="145">
        <v>1270</v>
      </c>
      <c r="I4" s="145">
        <v>1256</v>
      </c>
      <c r="J4" s="24"/>
    </row>
    <row r="5" spans="1:20" ht="15" x14ac:dyDescent="0.25">
      <c r="A5" s="25"/>
      <c r="B5" s="26"/>
      <c r="C5" s="27"/>
      <c r="D5" s="26" t="s">
        <v>45</v>
      </c>
      <c r="E5" s="26" t="s">
        <v>46</v>
      </c>
      <c r="F5" s="26" t="s">
        <v>47</v>
      </c>
      <c r="G5" s="26" t="s">
        <v>260</v>
      </c>
      <c r="H5" s="26" t="s">
        <v>48</v>
      </c>
      <c r="I5" s="26" t="s">
        <v>119</v>
      </c>
      <c r="J5" s="26" t="s">
        <v>49</v>
      </c>
      <c r="K5" s="28"/>
      <c r="L5" s="201"/>
    </row>
    <row r="6" spans="1:20" ht="15" x14ac:dyDescent="0.25">
      <c r="A6" s="29"/>
      <c r="B6" s="30"/>
      <c r="C6" s="31"/>
      <c r="D6" s="32"/>
      <c r="E6" s="32"/>
      <c r="F6" s="32" t="s">
        <v>50</v>
      </c>
      <c r="G6" s="32"/>
      <c r="H6" s="32" t="s">
        <v>51</v>
      </c>
      <c r="I6" s="32"/>
      <c r="J6" s="33">
        <v>2017</v>
      </c>
      <c r="K6" s="34"/>
      <c r="L6" s="202"/>
    </row>
    <row r="7" spans="1:20" ht="15" x14ac:dyDescent="0.25">
      <c r="A7" s="35" t="s">
        <v>52</v>
      </c>
      <c r="B7" s="36" t="s">
        <v>53</v>
      </c>
      <c r="C7" s="37"/>
      <c r="D7" s="38"/>
      <c r="E7" s="38"/>
      <c r="F7" s="38"/>
      <c r="G7" s="38"/>
      <c r="H7" s="38"/>
      <c r="I7" s="38"/>
      <c r="J7" s="38"/>
      <c r="K7" s="40"/>
      <c r="L7" s="203"/>
    </row>
    <row r="8" spans="1:20" ht="15" x14ac:dyDescent="0.25">
      <c r="A8" s="29" t="s">
        <v>121</v>
      </c>
      <c r="B8" s="42" t="s">
        <v>193</v>
      </c>
      <c r="C8" s="35"/>
      <c r="D8" s="189"/>
      <c r="E8" s="189">
        <v>3500</v>
      </c>
      <c r="F8" s="189">
        <v>4000</v>
      </c>
      <c r="G8" s="189"/>
      <c r="H8" s="189"/>
      <c r="I8" s="189"/>
      <c r="J8" s="189">
        <f t="shared" ref="J8:J12" si="0">SUM(D8:I8)</f>
        <v>7500</v>
      </c>
      <c r="K8" s="44"/>
      <c r="L8" s="203"/>
    </row>
    <row r="9" spans="1:20" ht="15" x14ac:dyDescent="0.25">
      <c r="A9" s="29" t="s">
        <v>184</v>
      </c>
      <c r="B9" s="42" t="s">
        <v>273</v>
      </c>
      <c r="C9" s="35"/>
      <c r="D9" s="189">
        <v>75000</v>
      </c>
      <c r="E9" s="189"/>
      <c r="F9" s="189"/>
      <c r="G9" s="189"/>
      <c r="H9" s="189"/>
      <c r="I9" s="189"/>
      <c r="J9" s="189">
        <f>SUM(D9:I9)</f>
        <v>75000</v>
      </c>
      <c r="K9" s="44"/>
      <c r="L9" s="203"/>
    </row>
    <row r="10" spans="1:20" ht="15" x14ac:dyDescent="0.25">
      <c r="A10" s="29" t="s">
        <v>117</v>
      </c>
      <c r="B10" s="45" t="s">
        <v>25</v>
      </c>
      <c r="C10" s="35"/>
      <c r="D10" s="189"/>
      <c r="E10" s="189"/>
      <c r="F10" s="189">
        <v>24000</v>
      </c>
      <c r="G10" s="189"/>
      <c r="H10" s="189"/>
      <c r="I10" s="189"/>
      <c r="J10" s="189">
        <f t="shared" si="0"/>
        <v>24000</v>
      </c>
      <c r="K10" s="44"/>
      <c r="L10" s="203"/>
    </row>
    <row r="11" spans="1:20" ht="15" x14ac:dyDescent="0.25">
      <c r="A11" s="29" t="s">
        <v>188</v>
      </c>
      <c r="B11" s="41" t="s">
        <v>187</v>
      </c>
      <c r="C11" s="35"/>
      <c r="D11" s="189"/>
      <c r="E11" s="189">
        <v>3500</v>
      </c>
      <c r="F11" s="189"/>
      <c r="G11" s="189"/>
      <c r="H11" s="189"/>
      <c r="I11" s="189"/>
      <c r="J11" s="189">
        <f t="shared" si="0"/>
        <v>3500</v>
      </c>
      <c r="K11" s="44"/>
      <c r="L11" s="204"/>
    </row>
    <row r="12" spans="1:20" ht="15" x14ac:dyDescent="0.25">
      <c r="A12" s="29" t="s">
        <v>195</v>
      </c>
      <c r="B12" s="41" t="s">
        <v>196</v>
      </c>
      <c r="C12" s="37"/>
      <c r="D12" s="189"/>
      <c r="E12" s="189"/>
      <c r="F12" s="189"/>
      <c r="G12" s="189"/>
      <c r="H12" s="189"/>
      <c r="I12" s="189">
        <f>'Budsjett 2017 Kyrkja mi'!B10</f>
        <v>1150000</v>
      </c>
      <c r="J12" s="189">
        <f t="shared" si="0"/>
        <v>1150000</v>
      </c>
      <c r="K12" s="40"/>
      <c r="L12" s="204"/>
    </row>
    <row r="13" spans="1:20" ht="15" x14ac:dyDescent="0.25">
      <c r="A13" s="29" t="s">
        <v>118</v>
      </c>
      <c r="B13" s="41" t="s">
        <v>271</v>
      </c>
      <c r="C13" s="37"/>
      <c r="D13" s="189">
        <v>107000</v>
      </c>
      <c r="E13" s="189"/>
      <c r="F13" s="189"/>
      <c r="G13" s="189"/>
      <c r="H13" s="189"/>
      <c r="I13" s="189"/>
      <c r="J13" s="189">
        <f t="shared" ref="J13" si="1">SUM(D13:I13)</f>
        <v>107000</v>
      </c>
      <c r="K13" s="29"/>
      <c r="L13" s="41"/>
      <c r="M13" s="37"/>
      <c r="N13" s="189"/>
      <c r="O13" s="189"/>
      <c r="P13" s="189"/>
      <c r="Q13" s="189"/>
      <c r="R13" s="189"/>
      <c r="S13" s="189"/>
      <c r="T13" s="189"/>
    </row>
    <row r="14" spans="1:20" ht="15" x14ac:dyDescent="0.25">
      <c r="A14" s="29" t="s">
        <v>118</v>
      </c>
      <c r="B14" s="41" t="s">
        <v>272</v>
      </c>
      <c r="C14" s="37"/>
      <c r="D14" s="189"/>
      <c r="E14" s="189"/>
      <c r="F14" s="189">
        <v>107000</v>
      </c>
      <c r="G14" s="189"/>
      <c r="H14" s="189"/>
      <c r="I14" s="189"/>
      <c r="J14" s="189">
        <f>SUM(D14:I14)</f>
        <v>107000</v>
      </c>
      <c r="K14" s="29"/>
      <c r="L14" s="41"/>
      <c r="M14" s="37"/>
      <c r="N14" s="189"/>
      <c r="O14" s="189"/>
      <c r="P14" s="189"/>
      <c r="Q14" s="189"/>
      <c r="R14" s="189"/>
      <c r="S14" s="189"/>
      <c r="T14" s="189"/>
    </row>
    <row r="15" spans="1:20" ht="15" x14ac:dyDescent="0.25">
      <c r="A15" s="29" t="s">
        <v>118</v>
      </c>
      <c r="B15" s="42" t="s">
        <v>54</v>
      </c>
      <c r="C15" s="35"/>
      <c r="D15" s="189">
        <v>755599</v>
      </c>
      <c r="E15" s="189">
        <v>688141</v>
      </c>
      <c r="F15" s="189">
        <v>395696</v>
      </c>
      <c r="G15" s="189"/>
      <c r="H15" s="189">
        <v>100564</v>
      </c>
      <c r="I15" s="189"/>
      <c r="J15" s="189">
        <f>SUM(D15:H15)</f>
        <v>1940000</v>
      </c>
      <c r="K15" s="200"/>
      <c r="L15" s="204"/>
    </row>
    <row r="16" spans="1:20" ht="15" x14ac:dyDescent="0.25">
      <c r="A16" s="29" t="s">
        <v>194</v>
      </c>
      <c r="B16" s="42" t="s">
        <v>239</v>
      </c>
      <c r="C16" s="35"/>
      <c r="D16" s="146">
        <f>'EKF Lønnsnøkkel - notater 2017'!E88</f>
        <v>309257.28693524585</v>
      </c>
      <c r="E16" s="189"/>
      <c r="F16" s="189"/>
      <c r="G16" s="189"/>
      <c r="H16" s="189"/>
      <c r="I16" s="189"/>
      <c r="J16" s="189">
        <f t="shared" ref="J16:J21" si="2">SUM(D16:I16)</f>
        <v>309257.28693524585</v>
      </c>
      <c r="K16" s="44"/>
      <c r="L16" s="204"/>
      <c r="M16" s="22"/>
    </row>
    <row r="17" spans="1:13" ht="15" x14ac:dyDescent="0.25">
      <c r="A17" s="154" t="s">
        <v>194</v>
      </c>
      <c r="B17" s="49" t="s">
        <v>277</v>
      </c>
      <c r="C17" s="35"/>
      <c r="D17" s="190">
        <v>30000</v>
      </c>
      <c r="E17" s="189"/>
      <c r="F17" s="189"/>
      <c r="G17" s="189"/>
      <c r="H17" s="189"/>
      <c r="I17" s="189"/>
      <c r="J17" s="189">
        <f t="shared" si="2"/>
        <v>30000</v>
      </c>
      <c r="K17" s="44"/>
      <c r="L17" s="204"/>
      <c r="M17" s="22"/>
    </row>
    <row r="18" spans="1:13" ht="15" x14ac:dyDescent="0.25">
      <c r="A18" s="29" t="s">
        <v>194</v>
      </c>
      <c r="B18" s="49" t="s">
        <v>253</v>
      </c>
      <c r="C18" s="35"/>
      <c r="D18" s="190"/>
      <c r="E18" s="189">
        <f>'EKF Lønnsnøkkel - notater 2017'!E98</f>
        <v>51393.837293320714</v>
      </c>
      <c r="F18" s="189"/>
      <c r="G18" s="189"/>
      <c r="H18" s="189"/>
      <c r="I18" s="189"/>
      <c r="J18" s="189">
        <f t="shared" si="2"/>
        <v>51393.837293320714</v>
      </c>
      <c r="K18" s="44"/>
      <c r="L18" s="203"/>
    </row>
    <row r="19" spans="1:13" ht="15" x14ac:dyDescent="0.25">
      <c r="A19" s="29" t="s">
        <v>194</v>
      </c>
      <c r="B19" s="41" t="s">
        <v>246</v>
      </c>
      <c r="C19" s="35"/>
      <c r="D19" s="189">
        <f>'EKF Lønnsnøkkel - notater 2017'!E78</f>
        <v>227381.67136611941</v>
      </c>
      <c r="E19" s="189"/>
      <c r="F19" s="189"/>
      <c r="G19" s="189"/>
      <c r="H19" s="189"/>
      <c r="I19" s="189"/>
      <c r="J19" s="189">
        <f t="shared" si="2"/>
        <v>227381.67136611941</v>
      </c>
      <c r="K19" s="44"/>
      <c r="L19" s="204"/>
    </row>
    <row r="20" spans="1:13" ht="15" x14ac:dyDescent="0.25">
      <c r="A20" s="29" t="s">
        <v>194</v>
      </c>
      <c r="B20" s="41" t="s">
        <v>257</v>
      </c>
      <c r="C20" s="35"/>
      <c r="D20" s="189">
        <v>30000</v>
      </c>
      <c r="E20" s="189"/>
      <c r="F20" s="189"/>
      <c r="G20" s="189"/>
      <c r="H20" s="189"/>
      <c r="I20" s="189"/>
      <c r="J20" s="189">
        <f t="shared" si="2"/>
        <v>30000</v>
      </c>
      <c r="K20" s="44"/>
      <c r="L20" s="203"/>
    </row>
    <row r="21" spans="1:13" ht="15" x14ac:dyDescent="0.25">
      <c r="A21" s="29"/>
      <c r="B21" s="41" t="s">
        <v>276</v>
      </c>
      <c r="C21" s="35"/>
      <c r="D21" s="189">
        <v>10000</v>
      </c>
      <c r="E21" s="189"/>
      <c r="F21" s="189"/>
      <c r="G21" s="189"/>
      <c r="H21" s="189"/>
      <c r="I21" s="189"/>
      <c r="J21" s="189">
        <f t="shared" si="2"/>
        <v>10000</v>
      </c>
      <c r="K21" s="44"/>
      <c r="L21" s="203"/>
    </row>
    <row r="22" spans="1:13" ht="15" x14ac:dyDescent="0.25">
      <c r="A22" s="29"/>
      <c r="B22" s="46" t="s">
        <v>55</v>
      </c>
      <c r="C22" s="47"/>
      <c r="D22" s="191">
        <f>SUM(D8:D21)</f>
        <v>1544237.9583013654</v>
      </c>
      <c r="E22" s="191">
        <f>SUM(E8:E21)</f>
        <v>746534.83729332068</v>
      </c>
      <c r="F22" s="191">
        <f>SUM(F8:F21)</f>
        <v>530696</v>
      </c>
      <c r="G22" s="191"/>
      <c r="H22" s="191">
        <f>SUM(H8:H21)</f>
        <v>100564</v>
      </c>
      <c r="I22" s="191">
        <f>SUM(I8:I21)</f>
        <v>1150000</v>
      </c>
      <c r="J22" s="191">
        <f>SUM(J8:J21)</f>
        <v>4072032.7955946857</v>
      </c>
      <c r="K22" s="44"/>
      <c r="L22" s="203"/>
    </row>
    <row r="23" spans="1:13" ht="15" x14ac:dyDescent="0.25">
      <c r="A23" s="29"/>
      <c r="B23" s="41"/>
      <c r="C23" s="35"/>
      <c r="D23" s="189"/>
      <c r="E23" s="192"/>
      <c r="F23" s="192"/>
      <c r="G23" s="192"/>
      <c r="H23" s="192"/>
      <c r="I23" s="192"/>
      <c r="J23" s="192"/>
      <c r="K23" s="40"/>
      <c r="L23" s="203"/>
    </row>
    <row r="24" spans="1:13" ht="15" x14ac:dyDescent="0.25">
      <c r="A24" s="35" t="s">
        <v>52</v>
      </c>
      <c r="B24" s="36" t="s">
        <v>56</v>
      </c>
      <c r="C24" s="37"/>
      <c r="D24" s="189"/>
      <c r="E24" s="192"/>
      <c r="F24" s="192"/>
      <c r="G24" s="192"/>
      <c r="H24" s="192"/>
      <c r="I24" s="192"/>
      <c r="J24" s="192"/>
      <c r="K24" s="40"/>
    </row>
    <row r="25" spans="1:13" ht="15" x14ac:dyDescent="0.25">
      <c r="A25" s="29" t="s">
        <v>116</v>
      </c>
      <c r="B25" s="41" t="s">
        <v>209</v>
      </c>
      <c r="C25" s="35"/>
      <c r="D25" s="189">
        <f>'EKF Lønnsnøkkel - notater 2017'!B26-D28-D29-D30</f>
        <v>933136.4614489713</v>
      </c>
      <c r="E25" s="146">
        <f>'EKF Lønnsnøkkel - notater 2017'!B27-E28-E29-E30</f>
        <v>410455.90164284996</v>
      </c>
      <c r="F25" s="146">
        <f>'EKF Lønnsnøkkel - notater 2017'!B28-F28-F29-F30</f>
        <v>269053.74395341205</v>
      </c>
      <c r="G25" s="146"/>
      <c r="H25" s="146">
        <f>'EKF Lønnsnøkkel - notater 2017'!B29-H28-H29-H30</f>
        <v>79693.239559608905</v>
      </c>
      <c r="I25" s="146">
        <f>'Notater 2017 - Kyrkja mi'!F15+'Notater 2017 - Kyrkja mi'!F17+'Notater 2017 - Kyrkja mi'!F19</f>
        <v>760759.90833333333</v>
      </c>
      <c r="J25" s="146">
        <f t="shared" ref="J25:J57" si="3">SUM(D25:I25)</f>
        <v>2453099.2549381754</v>
      </c>
      <c r="K25" s="44"/>
      <c r="L25" s="2"/>
    </row>
    <row r="26" spans="1:13" ht="15" x14ac:dyDescent="0.25">
      <c r="A26" s="29" t="s">
        <v>122</v>
      </c>
      <c r="B26" s="41" t="s">
        <v>212</v>
      </c>
      <c r="C26" s="35"/>
      <c r="D26" s="189"/>
      <c r="E26" s="146">
        <v>7000</v>
      </c>
      <c r="F26" s="146">
        <v>5000</v>
      </c>
      <c r="G26" s="146"/>
      <c r="H26" s="146"/>
      <c r="I26" s="146"/>
      <c r="J26" s="146">
        <f t="shared" si="3"/>
        <v>12000</v>
      </c>
      <c r="K26" s="44"/>
      <c r="L26" s="2"/>
    </row>
    <row r="27" spans="1:13" ht="15" x14ac:dyDescent="0.25">
      <c r="A27" s="29" t="s">
        <v>120</v>
      </c>
      <c r="B27" s="41" t="s">
        <v>4</v>
      </c>
      <c r="C27" s="35"/>
      <c r="D27" s="189">
        <f>'Notater EKF 2017'!D11</f>
        <v>78560</v>
      </c>
      <c r="E27" s="146"/>
      <c r="F27" s="146"/>
      <c r="G27" s="146"/>
      <c r="H27" s="146"/>
      <c r="I27" s="146"/>
      <c r="J27" s="146">
        <f t="shared" si="3"/>
        <v>78560</v>
      </c>
      <c r="K27" s="44"/>
      <c r="L27" s="2"/>
    </row>
    <row r="28" spans="1:13" ht="15" x14ac:dyDescent="0.25">
      <c r="A28" s="29" t="s">
        <v>123</v>
      </c>
      <c r="B28" s="41" t="s">
        <v>124</v>
      </c>
      <c r="C28" s="35"/>
      <c r="D28" s="189">
        <f>'EKF Lønnsnøkkel - notater 2017'!C26</f>
        <v>170749.02009996033</v>
      </c>
      <c r="E28" s="146">
        <f>'EKF Lønnsnøkkel - notater 2017'!C27</f>
        <v>75224.162002309837</v>
      </c>
      <c r="F28" s="146">
        <f>'EKF Lønnsnøkkel - notater 2017'!C28</f>
        <v>49319.4149633384</v>
      </c>
      <c r="G28" s="146"/>
      <c r="H28" s="146">
        <f>'EKF Lønnsnøkkel - notater 2017'!C29</f>
        <v>14603.260842557145</v>
      </c>
      <c r="I28" s="146">
        <f>'Bud. 2017 Kyrkja mi- interne ko'!C13</f>
        <v>120888.47649999999</v>
      </c>
      <c r="J28" s="146">
        <f t="shared" si="3"/>
        <v>430784.33440816565</v>
      </c>
      <c r="K28" s="184"/>
      <c r="L28" s="185"/>
      <c r="M28" s="186"/>
    </row>
    <row r="29" spans="1:13" ht="15" x14ac:dyDescent="0.25">
      <c r="A29" s="29" t="s">
        <v>125</v>
      </c>
      <c r="B29" s="41" t="s">
        <v>126</v>
      </c>
      <c r="C29" s="35"/>
      <c r="D29" s="189">
        <f>'EKF Lønnsnøkkel - notater 2017'!D26</f>
        <v>3622.12</v>
      </c>
      <c r="E29" s="146">
        <f>'EKF Lønnsnøkkel - notater 2017'!D27</f>
        <v>960.07999999999993</v>
      </c>
      <c r="F29" s="146">
        <f>'EKF Lønnsnøkkel - notater 2017'!D28</f>
        <v>654.6</v>
      </c>
      <c r="G29" s="146"/>
      <c r="H29" s="146">
        <f>'EKF Lønnsnøkkel - notater 2017'!D29</f>
        <v>218.20000000000002</v>
      </c>
      <c r="I29" s="146">
        <f>'Notater 2017 - Kyrkja mi'!F20</f>
        <v>4364</v>
      </c>
      <c r="J29" s="146">
        <f t="shared" si="3"/>
        <v>9819</v>
      </c>
      <c r="K29" s="184"/>
      <c r="L29" s="187"/>
      <c r="M29" s="186"/>
    </row>
    <row r="30" spans="1:13" ht="15" x14ac:dyDescent="0.25">
      <c r="A30" s="29" t="s">
        <v>127</v>
      </c>
      <c r="B30" s="41" t="s">
        <v>1</v>
      </c>
      <c r="C30" s="35"/>
      <c r="D30" s="189">
        <f>'EKF Lønnsnøkkel - notater 2017'!E26</f>
        <v>70880.486499131628</v>
      </c>
      <c r="E30" s="146">
        <f>'EKF Lønnsnøkkel - notater 2017'!E27</f>
        <v>31144.969193290221</v>
      </c>
      <c r="F30" s="146">
        <f>'EKF Lønnsnøkkel - notater 2017'!E28</f>
        <v>20417.776570672027</v>
      </c>
      <c r="G30" s="146"/>
      <c r="H30" s="146">
        <f>'EKF Lønnsnøkkel - notater 2017'!E29</f>
        <v>6048.9408257386276</v>
      </c>
      <c r="I30" s="146">
        <f>'Bud. 2017 Kyrkja mi- interne ko'!C14</f>
        <v>42093.919999999998</v>
      </c>
      <c r="J30" s="146">
        <f t="shared" si="3"/>
        <v>170586.09308883251</v>
      </c>
      <c r="K30" s="184"/>
      <c r="L30" s="153"/>
      <c r="M30" s="188"/>
    </row>
    <row r="31" spans="1:13" s="150" customFormat="1" ht="15" x14ac:dyDescent="0.25">
      <c r="A31" s="90" t="s">
        <v>128</v>
      </c>
      <c r="B31" s="91" t="s">
        <v>210</v>
      </c>
      <c r="C31" s="37"/>
      <c r="D31" s="193"/>
      <c r="E31" s="194"/>
      <c r="F31" s="194"/>
      <c r="G31" s="194"/>
      <c r="H31" s="194"/>
      <c r="I31" s="146">
        <f>'Bud. 2017 Kyrkja mi- interne ko'!C20</f>
        <v>89444</v>
      </c>
      <c r="J31" s="146">
        <f t="shared" si="3"/>
        <v>89444</v>
      </c>
      <c r="K31" s="149"/>
      <c r="L31" s="8"/>
    </row>
    <row r="32" spans="1:13" s="150" customFormat="1" ht="15" x14ac:dyDescent="0.25">
      <c r="A32" s="90" t="s">
        <v>59</v>
      </c>
      <c r="B32" s="91" t="s">
        <v>134</v>
      </c>
      <c r="C32" s="37"/>
      <c r="D32" s="193"/>
      <c r="E32" s="194"/>
      <c r="F32" s="194"/>
      <c r="G32" s="194"/>
      <c r="H32" s="194"/>
      <c r="I32" s="194"/>
      <c r="J32" s="146">
        <f t="shared" si="3"/>
        <v>0</v>
      </c>
      <c r="K32" s="149"/>
      <c r="L32" s="8"/>
    </row>
    <row r="33" spans="1:12" s="150" customFormat="1" ht="15" x14ac:dyDescent="0.25">
      <c r="A33" s="90" t="s">
        <v>129</v>
      </c>
      <c r="B33" s="91" t="s">
        <v>135</v>
      </c>
      <c r="C33" s="37"/>
      <c r="D33" s="193"/>
      <c r="E33" s="194"/>
      <c r="F33" s="194"/>
      <c r="G33" s="194"/>
      <c r="H33" s="194"/>
      <c r="I33" s="146">
        <f>'Budsjett 2017 Kyrkja mi'!B23</f>
        <v>550</v>
      </c>
      <c r="J33" s="146">
        <f t="shared" si="3"/>
        <v>550</v>
      </c>
      <c r="K33" s="149"/>
      <c r="L33" s="166"/>
    </row>
    <row r="34" spans="1:12" ht="15" x14ac:dyDescent="0.25">
      <c r="A34" s="29" t="s">
        <v>130</v>
      </c>
      <c r="B34" s="41" t="s">
        <v>136</v>
      </c>
      <c r="C34" s="35"/>
      <c r="D34" s="189"/>
      <c r="E34" s="146"/>
      <c r="F34" s="146"/>
      <c r="G34" s="146"/>
      <c r="H34" s="146"/>
      <c r="I34" s="146"/>
      <c r="J34" s="146">
        <f t="shared" si="3"/>
        <v>0</v>
      </c>
      <c r="K34" s="44"/>
      <c r="L34" s="2"/>
    </row>
    <row r="35" spans="1:12" ht="15" x14ac:dyDescent="0.25">
      <c r="A35" s="29" t="s">
        <v>131</v>
      </c>
      <c r="B35" s="41" t="s">
        <v>137</v>
      </c>
      <c r="C35" s="35"/>
      <c r="D35" s="189"/>
      <c r="E35" s="146"/>
      <c r="F35" s="146"/>
      <c r="G35" s="146"/>
      <c r="H35" s="146"/>
      <c r="I35" s="146"/>
      <c r="J35" s="146">
        <f t="shared" si="3"/>
        <v>0</v>
      </c>
      <c r="K35" s="44"/>
      <c r="L35" s="2"/>
    </row>
    <row r="36" spans="1:12" ht="15" x14ac:dyDescent="0.25">
      <c r="A36" s="29" t="s">
        <v>132</v>
      </c>
      <c r="B36" s="41" t="s">
        <v>138</v>
      </c>
      <c r="C36" s="35"/>
      <c r="D36" s="189"/>
      <c r="E36" s="146"/>
      <c r="F36" s="146"/>
      <c r="G36" s="146"/>
      <c r="H36" s="146"/>
      <c r="I36" s="146"/>
      <c r="J36" s="146">
        <f t="shared" si="3"/>
        <v>0</v>
      </c>
      <c r="K36" s="44"/>
      <c r="L36" s="58"/>
    </row>
    <row r="37" spans="1:12" ht="15" x14ac:dyDescent="0.25">
      <c r="A37" s="29" t="s">
        <v>133</v>
      </c>
      <c r="B37" s="41" t="s">
        <v>256</v>
      </c>
      <c r="C37" s="35"/>
      <c r="D37" s="189">
        <v>30000</v>
      </c>
      <c r="E37" s="146"/>
      <c r="F37" s="146"/>
      <c r="G37" s="146"/>
      <c r="H37" s="146"/>
      <c r="I37" s="146"/>
      <c r="J37" s="146">
        <f t="shared" si="3"/>
        <v>30000</v>
      </c>
      <c r="K37" s="44"/>
      <c r="L37" s="2"/>
    </row>
    <row r="38" spans="1:12" ht="15" x14ac:dyDescent="0.25">
      <c r="A38" s="29" t="s">
        <v>112</v>
      </c>
      <c r="B38" s="41" t="s">
        <v>111</v>
      </c>
      <c r="C38" s="35"/>
      <c r="D38" s="189">
        <v>3000</v>
      </c>
      <c r="E38" s="146"/>
      <c r="F38" s="146"/>
      <c r="G38" s="146"/>
      <c r="H38" s="146"/>
      <c r="I38" s="146"/>
      <c r="J38" s="146">
        <f t="shared" si="3"/>
        <v>3000</v>
      </c>
      <c r="K38" s="44"/>
      <c r="L38" s="2"/>
    </row>
    <row r="39" spans="1:12" ht="15" x14ac:dyDescent="0.25">
      <c r="A39" s="29" t="s">
        <v>110</v>
      </c>
      <c r="B39" s="41" t="s">
        <v>10</v>
      </c>
      <c r="C39" s="35"/>
      <c r="D39" s="189">
        <v>7000</v>
      </c>
      <c r="E39" s="146"/>
      <c r="F39" s="146"/>
      <c r="G39" s="146"/>
      <c r="H39" s="146"/>
      <c r="I39" s="146">
        <f>'Bud. 2017 Kyrkja mi- interne ko'!C34</f>
        <v>37000</v>
      </c>
      <c r="J39" s="146">
        <f t="shared" si="3"/>
        <v>44000</v>
      </c>
      <c r="K39" s="44"/>
      <c r="L39" s="2"/>
    </row>
    <row r="40" spans="1:12" ht="15" x14ac:dyDescent="0.25">
      <c r="A40" s="29" t="s">
        <v>197</v>
      </c>
      <c r="B40" s="41" t="s">
        <v>198</v>
      </c>
      <c r="C40" s="35"/>
      <c r="D40" s="189">
        <v>4000</v>
      </c>
      <c r="E40" s="146"/>
      <c r="F40" s="146"/>
      <c r="G40" s="146"/>
      <c r="H40" s="146"/>
      <c r="I40" s="146"/>
      <c r="J40" s="146">
        <f t="shared" si="3"/>
        <v>4000</v>
      </c>
      <c r="K40" s="44"/>
      <c r="L40" s="2"/>
    </row>
    <row r="41" spans="1:12" ht="15" x14ac:dyDescent="0.25">
      <c r="A41" s="29" t="s">
        <v>114</v>
      </c>
      <c r="B41" s="41" t="s">
        <v>139</v>
      </c>
      <c r="C41" s="35"/>
      <c r="D41" s="189">
        <v>10000</v>
      </c>
      <c r="E41" s="146">
        <v>5000</v>
      </c>
      <c r="F41" s="146">
        <v>1000</v>
      </c>
      <c r="G41" s="146"/>
      <c r="H41" s="146"/>
      <c r="I41" s="146">
        <f>'Bud. 2017 Kyrkja mi- interne ko'!C26</f>
        <v>45000</v>
      </c>
      <c r="J41" s="146">
        <f t="shared" si="3"/>
        <v>61000</v>
      </c>
      <c r="K41" s="44"/>
      <c r="L41" s="2"/>
    </row>
    <row r="42" spans="1:12" ht="15" x14ac:dyDescent="0.25">
      <c r="A42" s="29" t="s">
        <v>274</v>
      </c>
      <c r="B42" s="41" t="s">
        <v>275</v>
      </c>
      <c r="C42" s="35"/>
      <c r="D42" s="189">
        <v>107000</v>
      </c>
      <c r="E42" s="146"/>
      <c r="F42" s="146">
        <v>107000</v>
      </c>
      <c r="G42" s="146"/>
      <c r="H42" s="146"/>
      <c r="I42" s="146"/>
      <c r="J42" s="146">
        <f>SUM(D42:I42)</f>
        <v>214000</v>
      </c>
      <c r="K42" s="44"/>
      <c r="L42" s="2"/>
    </row>
    <row r="43" spans="1:12" ht="15" x14ac:dyDescent="0.25">
      <c r="A43" s="29" t="s">
        <v>140</v>
      </c>
      <c r="B43" s="41" t="s">
        <v>145</v>
      </c>
      <c r="C43" s="35"/>
      <c r="D43" s="189"/>
      <c r="E43" s="146">
        <v>500</v>
      </c>
      <c r="F43" s="146"/>
      <c r="G43" s="146"/>
      <c r="H43" s="146"/>
      <c r="I43" s="146"/>
      <c r="J43" s="146">
        <f t="shared" si="3"/>
        <v>500</v>
      </c>
      <c r="K43" s="44"/>
      <c r="L43" s="2"/>
    </row>
    <row r="44" spans="1:12" s="150" customFormat="1" ht="15" x14ac:dyDescent="0.25">
      <c r="A44" s="90" t="s">
        <v>141</v>
      </c>
      <c r="B44" s="91" t="s">
        <v>146</v>
      </c>
      <c r="C44" s="37"/>
      <c r="D44" s="193"/>
      <c r="E44" s="194"/>
      <c r="F44" s="194"/>
      <c r="G44" s="194"/>
      <c r="H44" s="194"/>
      <c r="I44" s="194"/>
      <c r="J44" s="146">
        <f t="shared" si="3"/>
        <v>0</v>
      </c>
      <c r="K44" s="149"/>
      <c r="L44" s="8"/>
    </row>
    <row r="45" spans="1:12" s="150" customFormat="1" ht="15" x14ac:dyDescent="0.25">
      <c r="A45" s="90" t="s">
        <v>142</v>
      </c>
      <c r="B45" s="91" t="s">
        <v>147</v>
      </c>
      <c r="C45" s="37"/>
      <c r="D45" s="193"/>
      <c r="E45" s="146"/>
      <c r="F45" s="194"/>
      <c r="G45" s="194"/>
      <c r="H45" s="194"/>
      <c r="I45" s="194"/>
      <c r="J45" s="146">
        <f t="shared" si="3"/>
        <v>0</v>
      </c>
      <c r="K45" s="149"/>
      <c r="L45" s="8"/>
    </row>
    <row r="46" spans="1:12" ht="15" x14ac:dyDescent="0.25">
      <c r="A46" s="29" t="s">
        <v>70</v>
      </c>
      <c r="B46" s="41" t="s">
        <v>148</v>
      </c>
      <c r="C46" s="35"/>
      <c r="D46" s="189"/>
      <c r="E46" s="146"/>
      <c r="F46" s="146"/>
      <c r="G46" s="146"/>
      <c r="H46" s="146"/>
      <c r="I46" s="146"/>
      <c r="J46" s="146">
        <f t="shared" si="3"/>
        <v>0</v>
      </c>
      <c r="K46" s="44"/>
      <c r="L46" s="2"/>
    </row>
    <row r="47" spans="1:12" s="150" customFormat="1" ht="15" x14ac:dyDescent="0.25">
      <c r="A47" s="90" t="s">
        <v>143</v>
      </c>
      <c r="B47" s="91" t="s">
        <v>211</v>
      </c>
      <c r="C47" s="37"/>
      <c r="D47" s="193"/>
      <c r="E47" s="194"/>
      <c r="F47" s="194"/>
      <c r="G47" s="194"/>
      <c r="H47" s="194"/>
      <c r="I47" s="194"/>
      <c r="J47" s="146">
        <f t="shared" si="3"/>
        <v>0</v>
      </c>
      <c r="K47" s="149"/>
      <c r="L47" s="8"/>
    </row>
    <row r="48" spans="1:12" ht="15" x14ac:dyDescent="0.25">
      <c r="A48" s="29" t="s">
        <v>78</v>
      </c>
      <c r="B48" s="41" t="s">
        <v>149</v>
      </c>
      <c r="C48" s="35"/>
      <c r="D48" s="189">
        <v>1200</v>
      </c>
      <c r="E48" s="146"/>
      <c r="F48" s="146"/>
      <c r="G48" s="146"/>
      <c r="H48" s="146"/>
      <c r="I48" s="146">
        <f>'Bud. 2017 Kyrkja mi- interne ko'!C24</f>
        <v>6000</v>
      </c>
      <c r="J48" s="146">
        <f t="shared" si="3"/>
        <v>7200</v>
      </c>
      <c r="K48" s="44"/>
      <c r="L48" s="2"/>
    </row>
    <row r="49" spans="1:12" ht="15" x14ac:dyDescent="0.25">
      <c r="A49" s="29" t="s">
        <v>113</v>
      </c>
      <c r="B49" s="41" t="s">
        <v>150</v>
      </c>
      <c r="C49" s="35"/>
      <c r="D49" s="189">
        <v>3000</v>
      </c>
      <c r="E49" s="146"/>
      <c r="F49" s="146"/>
      <c r="G49" s="146"/>
      <c r="H49" s="146"/>
      <c r="I49" s="146">
        <f>'Bud. 2017 Kyrkja mi- interne ko'!C18</f>
        <v>9900</v>
      </c>
      <c r="J49" s="146">
        <f t="shared" si="3"/>
        <v>12900</v>
      </c>
      <c r="K49" s="44"/>
      <c r="L49" s="2"/>
    </row>
    <row r="50" spans="1:12" ht="15" x14ac:dyDescent="0.25">
      <c r="A50" s="29" t="s">
        <v>57</v>
      </c>
      <c r="B50" s="41" t="s">
        <v>2</v>
      </c>
      <c r="C50" s="35"/>
      <c r="D50" s="189">
        <f>'Notater EKF 2017'!D17</f>
        <v>51000</v>
      </c>
      <c r="E50" s="146"/>
      <c r="F50" s="146"/>
      <c r="G50" s="146"/>
      <c r="H50" s="146"/>
      <c r="I50" s="146">
        <f>'Bud. 2017 Kyrkja mi- interne ko'!C28</f>
        <v>28000</v>
      </c>
      <c r="J50" s="146">
        <f t="shared" si="3"/>
        <v>79000</v>
      </c>
      <c r="K50" s="44"/>
      <c r="L50" s="2"/>
    </row>
    <row r="51" spans="1:12" ht="15" x14ac:dyDescent="0.25">
      <c r="A51" s="29" t="s">
        <v>144</v>
      </c>
      <c r="B51" s="41" t="s">
        <v>151</v>
      </c>
      <c r="C51" s="35"/>
      <c r="D51" s="189"/>
      <c r="E51" s="146">
        <v>750</v>
      </c>
      <c r="F51" s="146">
        <v>750</v>
      </c>
      <c r="G51" s="146"/>
      <c r="H51" s="146"/>
      <c r="I51" s="146"/>
      <c r="J51" s="146">
        <f t="shared" si="3"/>
        <v>1500</v>
      </c>
      <c r="K51" s="44"/>
      <c r="L51" s="2"/>
    </row>
    <row r="52" spans="1:12" ht="15" x14ac:dyDescent="0.25">
      <c r="A52" s="29" t="s">
        <v>213</v>
      </c>
      <c r="B52" s="41" t="s">
        <v>216</v>
      </c>
      <c r="C52" s="35"/>
      <c r="D52" s="189">
        <v>1000</v>
      </c>
      <c r="E52" s="146"/>
      <c r="F52" s="146"/>
      <c r="G52" s="146"/>
      <c r="H52" s="146"/>
      <c r="I52" s="146">
        <f>'Bud. 2017 Kyrkja mi- interne ko'!C15</f>
        <v>3000</v>
      </c>
      <c r="J52" s="146">
        <f t="shared" si="3"/>
        <v>4000</v>
      </c>
      <c r="K52" s="44"/>
      <c r="L52" s="2"/>
    </row>
    <row r="53" spans="1:12" ht="15" x14ac:dyDescent="0.25">
      <c r="A53" s="29" t="s">
        <v>77</v>
      </c>
      <c r="B53" s="41" t="s">
        <v>9</v>
      </c>
      <c r="C53" s="35"/>
      <c r="D53" s="189"/>
      <c r="E53" s="146"/>
      <c r="F53" s="146">
        <v>3500</v>
      </c>
      <c r="G53" s="146"/>
      <c r="H53" s="146"/>
      <c r="I53" s="146"/>
      <c r="J53" s="146">
        <f t="shared" si="3"/>
        <v>3500</v>
      </c>
      <c r="K53" s="44"/>
      <c r="L53" s="2"/>
    </row>
    <row r="54" spans="1:12" ht="15" x14ac:dyDescent="0.25">
      <c r="A54" s="29" t="s">
        <v>71</v>
      </c>
      <c r="B54" s="41" t="s">
        <v>154</v>
      </c>
      <c r="C54" s="35"/>
      <c r="D54" s="189"/>
      <c r="E54" s="146">
        <v>90000</v>
      </c>
      <c r="F54" s="146"/>
      <c r="G54" s="146"/>
      <c r="H54" s="146"/>
      <c r="I54" s="146"/>
      <c r="J54" s="146">
        <f t="shared" si="3"/>
        <v>90000</v>
      </c>
      <c r="K54" s="44"/>
      <c r="L54" s="2"/>
    </row>
    <row r="55" spans="1:12" ht="15" x14ac:dyDescent="0.25">
      <c r="A55" s="29" t="s">
        <v>72</v>
      </c>
      <c r="B55" s="41" t="s">
        <v>214</v>
      </c>
      <c r="C55" s="35"/>
      <c r="D55" s="189">
        <v>5000</v>
      </c>
      <c r="E55" s="146">
        <v>80000</v>
      </c>
      <c r="F55" s="146"/>
      <c r="G55" s="146"/>
      <c r="H55" s="146"/>
      <c r="I55" s="146"/>
      <c r="J55" s="146">
        <f t="shared" si="3"/>
        <v>85000</v>
      </c>
      <c r="K55" s="44"/>
      <c r="L55" s="58"/>
    </row>
    <row r="56" spans="1:12" s="150" customFormat="1" ht="15" x14ac:dyDescent="0.25">
      <c r="A56" s="90" t="s">
        <v>152</v>
      </c>
      <c r="B56" s="91" t="s">
        <v>155</v>
      </c>
      <c r="C56" s="37"/>
      <c r="D56" s="193"/>
      <c r="E56" s="194"/>
      <c r="F56" s="194"/>
      <c r="G56" s="194"/>
      <c r="H56" s="194"/>
      <c r="I56" s="146">
        <f>'Bud. 2017 Kyrkja mi- interne ko'!C30</f>
        <v>3000</v>
      </c>
      <c r="J56" s="146">
        <f t="shared" si="3"/>
        <v>3000</v>
      </c>
      <c r="K56" s="149"/>
      <c r="L56" s="8"/>
    </row>
    <row r="57" spans="1:12" ht="15" x14ac:dyDescent="0.25">
      <c r="A57" s="29" t="s">
        <v>58</v>
      </c>
      <c r="B57" s="41" t="s">
        <v>156</v>
      </c>
      <c r="C57" s="35"/>
      <c r="D57" s="189">
        <v>10000</v>
      </c>
      <c r="E57" s="146">
        <v>10000</v>
      </c>
      <c r="F57" s="146"/>
      <c r="G57" s="146"/>
      <c r="H57" s="146"/>
      <c r="I57" s="146"/>
      <c r="J57" s="146">
        <f t="shared" si="3"/>
        <v>20000</v>
      </c>
      <c r="K57" s="44"/>
      <c r="L57" s="2"/>
    </row>
    <row r="58" spans="1:12" ht="15" x14ac:dyDescent="0.25">
      <c r="A58" s="29" t="s">
        <v>115</v>
      </c>
      <c r="B58" s="41" t="s">
        <v>157</v>
      </c>
      <c r="C58" s="35"/>
      <c r="D58" s="189">
        <v>3000</v>
      </c>
      <c r="E58" s="146">
        <v>7500</v>
      </c>
      <c r="F58" s="146"/>
      <c r="G58" s="146"/>
      <c r="H58" s="146"/>
      <c r="I58" s="146"/>
      <c r="J58" s="146">
        <f t="shared" ref="J58:J82" si="4">SUM(D58:I58)</f>
        <v>10500</v>
      </c>
      <c r="K58" s="44"/>
      <c r="L58" s="2"/>
    </row>
    <row r="59" spans="1:12" ht="15" x14ac:dyDescent="0.25">
      <c r="A59" s="29" t="s">
        <v>153</v>
      </c>
      <c r="B59" s="41" t="s">
        <v>158</v>
      </c>
      <c r="C59" s="35"/>
      <c r="D59" s="189"/>
      <c r="E59" s="146"/>
      <c r="F59" s="146"/>
      <c r="G59" s="146"/>
      <c r="H59" s="146"/>
      <c r="I59" s="146"/>
      <c r="J59" s="146">
        <f t="shared" si="4"/>
        <v>0</v>
      </c>
      <c r="K59" s="44"/>
      <c r="L59" s="2"/>
    </row>
    <row r="60" spans="1:12" ht="15" x14ac:dyDescent="0.25">
      <c r="A60" s="29" t="s">
        <v>159</v>
      </c>
      <c r="B60" s="41" t="s">
        <v>160</v>
      </c>
      <c r="C60" s="35"/>
      <c r="D60" s="189"/>
      <c r="E60" s="146"/>
      <c r="F60" s="146"/>
      <c r="G60" s="146"/>
      <c r="H60" s="146"/>
      <c r="I60" s="146"/>
      <c r="J60" s="146">
        <f t="shared" si="4"/>
        <v>0</v>
      </c>
      <c r="K60" s="44"/>
      <c r="L60" s="2"/>
    </row>
    <row r="61" spans="1:12" ht="15" x14ac:dyDescent="0.25">
      <c r="A61" s="29" t="s">
        <v>161</v>
      </c>
      <c r="B61" s="41" t="s">
        <v>173</v>
      </c>
      <c r="C61" s="35"/>
      <c r="D61" s="189"/>
      <c r="E61" s="146"/>
      <c r="F61" s="146">
        <v>2500</v>
      </c>
      <c r="G61" s="146"/>
      <c r="H61" s="146"/>
      <c r="I61" s="146"/>
      <c r="J61" s="146">
        <f t="shared" si="4"/>
        <v>2500</v>
      </c>
      <c r="K61" s="44"/>
      <c r="L61" s="2"/>
    </row>
    <row r="62" spans="1:12" ht="15" x14ac:dyDescent="0.25">
      <c r="A62" s="29" t="s">
        <v>73</v>
      </c>
      <c r="B62" s="41" t="s">
        <v>215</v>
      </c>
      <c r="C62" s="35"/>
      <c r="D62" s="189"/>
      <c r="E62" s="146"/>
      <c r="F62" s="146">
        <v>47000</v>
      </c>
      <c r="G62" s="146"/>
      <c r="H62" s="146"/>
      <c r="I62" s="146"/>
      <c r="J62" s="146">
        <f t="shared" si="4"/>
        <v>47000</v>
      </c>
      <c r="K62" s="44"/>
      <c r="L62" s="2"/>
    </row>
    <row r="63" spans="1:12" ht="15" x14ac:dyDescent="0.25">
      <c r="A63" s="29" t="s">
        <v>162</v>
      </c>
      <c r="B63" s="41" t="s">
        <v>174</v>
      </c>
      <c r="C63" s="35"/>
      <c r="D63" s="189"/>
      <c r="E63" s="146"/>
      <c r="F63" s="146">
        <v>1500</v>
      </c>
      <c r="G63" s="146"/>
      <c r="H63" s="146"/>
      <c r="I63" s="146"/>
      <c r="J63" s="146">
        <f t="shared" si="4"/>
        <v>1500</v>
      </c>
      <c r="K63" s="44"/>
      <c r="L63" s="2"/>
    </row>
    <row r="64" spans="1:12" ht="15" x14ac:dyDescent="0.25">
      <c r="A64" s="29" t="s">
        <v>163</v>
      </c>
      <c r="B64" s="41" t="s">
        <v>175</v>
      </c>
      <c r="C64" s="35"/>
      <c r="D64" s="189"/>
      <c r="E64" s="146"/>
      <c r="F64" s="146"/>
      <c r="G64" s="146"/>
      <c r="H64" s="146"/>
      <c r="I64" s="146"/>
      <c r="J64" s="146">
        <f t="shared" si="4"/>
        <v>0</v>
      </c>
      <c r="K64" s="44"/>
      <c r="L64" s="2"/>
    </row>
    <row r="65" spans="1:12" ht="15" x14ac:dyDescent="0.25">
      <c r="A65" s="29" t="s">
        <v>164</v>
      </c>
      <c r="B65" s="41" t="s">
        <v>176</v>
      </c>
      <c r="C65" s="35"/>
      <c r="D65" s="189"/>
      <c r="E65" s="146">
        <v>0</v>
      </c>
      <c r="F65" s="146"/>
      <c r="G65" s="146"/>
      <c r="H65" s="146"/>
      <c r="I65" s="146"/>
      <c r="J65" s="146">
        <f t="shared" si="4"/>
        <v>0</v>
      </c>
      <c r="K65" s="44"/>
      <c r="L65" s="58"/>
    </row>
    <row r="66" spans="1:12" ht="15" x14ac:dyDescent="0.25">
      <c r="A66" s="29" t="s">
        <v>165</v>
      </c>
      <c r="B66" s="41" t="s">
        <v>177</v>
      </c>
      <c r="C66" s="35"/>
      <c r="D66" s="189"/>
      <c r="E66" s="146">
        <v>10000</v>
      </c>
      <c r="F66" s="146"/>
      <c r="G66" s="146"/>
      <c r="H66" s="146"/>
      <c r="I66" s="146"/>
      <c r="J66" s="146">
        <f t="shared" si="4"/>
        <v>10000</v>
      </c>
      <c r="K66" s="44"/>
      <c r="L66" s="2"/>
    </row>
    <row r="67" spans="1:12" ht="15" x14ac:dyDescent="0.25">
      <c r="A67" s="29" t="s">
        <v>166</v>
      </c>
      <c r="B67" s="41" t="s">
        <v>261</v>
      </c>
      <c r="C67" s="35"/>
      <c r="D67" s="189">
        <v>30000</v>
      </c>
      <c r="E67" s="146"/>
      <c r="F67" s="146"/>
      <c r="G67" s="146"/>
      <c r="H67" s="146"/>
      <c r="I67" s="146"/>
      <c r="J67" s="146">
        <f t="shared" si="4"/>
        <v>30000</v>
      </c>
      <c r="K67" s="44"/>
      <c r="L67" s="2"/>
    </row>
    <row r="68" spans="1:12" ht="15" x14ac:dyDescent="0.25">
      <c r="A68" s="29" t="s">
        <v>167</v>
      </c>
      <c r="B68" s="41" t="s">
        <v>265</v>
      </c>
      <c r="C68" s="35"/>
      <c r="D68" s="189"/>
      <c r="E68" s="146"/>
      <c r="F68" s="146">
        <v>13000</v>
      </c>
      <c r="G68" s="146"/>
      <c r="H68" s="146"/>
      <c r="I68" s="146"/>
      <c r="J68" s="146">
        <f t="shared" si="4"/>
        <v>13000</v>
      </c>
      <c r="K68" s="44"/>
      <c r="L68" s="2"/>
    </row>
    <row r="69" spans="1:12" ht="15" x14ac:dyDescent="0.25">
      <c r="A69" s="29" t="s">
        <v>168</v>
      </c>
      <c r="B69" s="41" t="s">
        <v>178</v>
      </c>
      <c r="C69" s="35"/>
      <c r="D69" s="189"/>
      <c r="E69" s="146"/>
      <c r="F69" s="146">
        <v>1000</v>
      </c>
      <c r="G69" s="146"/>
      <c r="H69" s="146"/>
      <c r="I69" s="146"/>
      <c r="J69" s="146">
        <f t="shared" si="4"/>
        <v>1000</v>
      </c>
      <c r="K69" s="44"/>
      <c r="L69" s="2"/>
    </row>
    <row r="70" spans="1:12" ht="15" x14ac:dyDescent="0.25">
      <c r="A70" s="29" t="s">
        <v>169</v>
      </c>
      <c r="B70" s="41" t="s">
        <v>179</v>
      </c>
      <c r="C70" s="35"/>
      <c r="D70" s="189"/>
      <c r="E70" s="146"/>
      <c r="F70" s="146">
        <v>1000</v>
      </c>
      <c r="G70" s="146"/>
      <c r="H70" s="146"/>
      <c r="I70" s="146"/>
      <c r="J70" s="146">
        <f t="shared" si="4"/>
        <v>1000</v>
      </c>
      <c r="K70" s="44"/>
      <c r="L70" s="2"/>
    </row>
    <row r="71" spans="1:12" ht="15" x14ac:dyDescent="0.25">
      <c r="A71" s="29" t="s">
        <v>170</v>
      </c>
      <c r="B71" s="41" t="s">
        <v>180</v>
      </c>
      <c r="C71" s="35"/>
      <c r="D71" s="189"/>
      <c r="E71" s="146"/>
      <c r="F71" s="146">
        <v>5000</v>
      </c>
      <c r="G71" s="146"/>
      <c r="H71" s="146"/>
      <c r="I71" s="146"/>
      <c r="J71" s="146">
        <f t="shared" si="4"/>
        <v>5000</v>
      </c>
      <c r="K71" s="44"/>
      <c r="L71" s="2"/>
    </row>
    <row r="72" spans="1:12" s="150" customFormat="1" ht="15" x14ac:dyDescent="0.25">
      <c r="A72" s="90" t="s">
        <v>75</v>
      </c>
      <c r="B72" s="91" t="s">
        <v>181</v>
      </c>
      <c r="C72" s="37"/>
      <c r="D72" s="193"/>
      <c r="E72" s="194"/>
      <c r="F72" s="194"/>
      <c r="G72" s="194"/>
      <c r="H72" s="194"/>
      <c r="I72" s="194"/>
      <c r="J72" s="146">
        <f t="shared" si="4"/>
        <v>0</v>
      </c>
      <c r="K72" s="149"/>
      <c r="L72" s="8"/>
    </row>
    <row r="73" spans="1:12" ht="15" x14ac:dyDescent="0.25">
      <c r="A73" s="29" t="s">
        <v>74</v>
      </c>
      <c r="B73" s="41" t="s">
        <v>7</v>
      </c>
      <c r="C73" s="35"/>
      <c r="D73" s="189">
        <v>17090</v>
      </c>
      <c r="E73" s="146"/>
      <c r="F73" s="146"/>
      <c r="G73" s="146"/>
      <c r="H73" s="146"/>
      <c r="I73" s="146"/>
      <c r="J73" s="146">
        <f t="shared" si="4"/>
        <v>17090</v>
      </c>
      <c r="K73" s="44"/>
      <c r="L73" s="2"/>
    </row>
    <row r="74" spans="1:12" ht="15" x14ac:dyDescent="0.25">
      <c r="A74" s="29" t="s">
        <v>223</v>
      </c>
      <c r="B74" s="41" t="s">
        <v>224</v>
      </c>
      <c r="C74" s="35"/>
      <c r="D74" s="189"/>
      <c r="E74" s="146"/>
      <c r="F74" s="146"/>
      <c r="G74" s="146"/>
      <c r="H74" s="146"/>
      <c r="I74" s="146"/>
      <c r="J74" s="146">
        <f t="shared" si="4"/>
        <v>0</v>
      </c>
      <c r="K74" s="44"/>
      <c r="L74" s="2"/>
    </row>
    <row r="75" spans="1:12" ht="15" x14ac:dyDescent="0.25">
      <c r="A75" s="29" t="s">
        <v>171</v>
      </c>
      <c r="B75" s="41" t="s">
        <v>182</v>
      </c>
      <c r="C75" s="35"/>
      <c r="D75" s="189"/>
      <c r="E75" s="146"/>
      <c r="F75" s="146"/>
      <c r="G75" s="146"/>
      <c r="H75" s="146"/>
      <c r="I75" s="146"/>
      <c r="J75" s="146">
        <f t="shared" si="4"/>
        <v>0</v>
      </c>
      <c r="K75" s="44"/>
      <c r="L75" s="2"/>
    </row>
    <row r="76" spans="1:12" ht="15" x14ac:dyDescent="0.25">
      <c r="A76" s="29" t="s">
        <v>172</v>
      </c>
      <c r="B76" s="41" t="s">
        <v>183</v>
      </c>
      <c r="C76" s="35"/>
      <c r="D76" s="189"/>
      <c r="E76" s="146"/>
      <c r="F76" s="146"/>
      <c r="G76" s="146"/>
      <c r="H76" s="146"/>
      <c r="I76" s="146"/>
      <c r="J76" s="146">
        <f t="shared" si="4"/>
        <v>0</v>
      </c>
      <c r="K76" s="44"/>
      <c r="L76" s="2"/>
    </row>
    <row r="77" spans="1:12" ht="15" x14ac:dyDescent="0.25">
      <c r="A77" s="29" t="s">
        <v>76</v>
      </c>
      <c r="B77" s="41" t="s">
        <v>8</v>
      </c>
      <c r="C77" s="35"/>
      <c r="D77" s="189">
        <v>5000</v>
      </c>
      <c r="E77" s="146"/>
      <c r="F77" s="146"/>
      <c r="G77" s="146"/>
      <c r="H77" s="146"/>
      <c r="I77" s="146"/>
      <c r="J77" s="146">
        <f t="shared" si="4"/>
        <v>5000</v>
      </c>
      <c r="K77" s="44"/>
      <c r="L77" s="2"/>
    </row>
    <row r="78" spans="1:12" ht="15" x14ac:dyDescent="0.25">
      <c r="A78" s="29" t="s">
        <v>225</v>
      </c>
      <c r="B78" s="41" t="s">
        <v>226</v>
      </c>
      <c r="C78" s="35"/>
      <c r="D78" s="189"/>
      <c r="E78" s="146"/>
      <c r="F78" s="146"/>
      <c r="G78" s="146"/>
      <c r="H78" s="146"/>
      <c r="I78" s="146"/>
      <c r="J78" s="146">
        <f t="shared" si="4"/>
        <v>0</v>
      </c>
      <c r="K78" s="44"/>
      <c r="L78" s="2"/>
    </row>
    <row r="79" spans="1:12" s="150" customFormat="1" ht="15" x14ac:dyDescent="0.25">
      <c r="A79" s="35" t="s">
        <v>227</v>
      </c>
      <c r="B79" s="171" t="s">
        <v>228</v>
      </c>
      <c r="C79" s="35"/>
      <c r="D79" s="195">
        <v>0</v>
      </c>
      <c r="E79" s="196"/>
      <c r="F79" s="196"/>
      <c r="G79" s="196"/>
      <c r="H79" s="196"/>
      <c r="I79" s="196"/>
      <c r="J79" s="196">
        <f t="shared" si="4"/>
        <v>0</v>
      </c>
      <c r="K79" s="149"/>
      <c r="L79" s="8"/>
    </row>
    <row r="80" spans="1:12" ht="15" x14ac:dyDescent="0.25">
      <c r="A80" s="29" t="s">
        <v>185</v>
      </c>
      <c r="B80" s="41" t="s">
        <v>189</v>
      </c>
      <c r="C80" s="35"/>
      <c r="D80" s="189"/>
      <c r="E80" s="146">
        <v>8000</v>
      </c>
      <c r="F80" s="146"/>
      <c r="G80" s="146"/>
      <c r="H80" s="146"/>
      <c r="I80" s="146"/>
      <c r="J80" s="146">
        <f t="shared" si="4"/>
        <v>8000</v>
      </c>
      <c r="K80" s="44"/>
      <c r="L80" s="2"/>
    </row>
    <row r="81" spans="1:12" ht="15" x14ac:dyDescent="0.25">
      <c r="A81" s="29" t="s">
        <v>186</v>
      </c>
      <c r="B81" s="41" t="s">
        <v>190</v>
      </c>
      <c r="C81" s="35"/>
      <c r="D81" s="189"/>
      <c r="E81" s="146">
        <v>10000</v>
      </c>
      <c r="F81" s="146"/>
      <c r="G81" s="146"/>
      <c r="H81" s="146"/>
      <c r="I81" s="146"/>
      <c r="J81" s="146">
        <f t="shared" si="4"/>
        <v>10000</v>
      </c>
      <c r="K81" s="44"/>
      <c r="L81" s="2"/>
    </row>
    <row r="82" spans="1:12" ht="15" x14ac:dyDescent="0.25">
      <c r="A82" s="29" t="s">
        <v>191</v>
      </c>
      <c r="B82" s="41" t="s">
        <v>192</v>
      </c>
      <c r="C82" s="35"/>
      <c r="D82" s="189"/>
      <c r="E82" s="146"/>
      <c r="F82" s="146">
        <v>3000</v>
      </c>
      <c r="G82" s="146"/>
      <c r="H82" s="146"/>
      <c r="I82" s="146"/>
      <c r="J82" s="146">
        <f t="shared" si="4"/>
        <v>3000</v>
      </c>
      <c r="K82" s="44"/>
      <c r="L82" s="2"/>
    </row>
    <row r="83" spans="1:12" ht="15" x14ac:dyDescent="0.25">
      <c r="A83" s="29"/>
      <c r="B83" s="46" t="s">
        <v>60</v>
      </c>
      <c r="C83" s="47"/>
      <c r="D83" s="191">
        <f>SUM(D25:D82)</f>
        <v>1544238.0880480635</v>
      </c>
      <c r="E83" s="191">
        <f>SUM(E25:E82)</f>
        <v>746535.11283845012</v>
      </c>
      <c r="F83" s="191">
        <f>SUM(F25:F82)</f>
        <v>530695.53548742249</v>
      </c>
      <c r="G83" s="191"/>
      <c r="H83" s="191">
        <f>SUM(H25:H82)</f>
        <v>100563.64122790466</v>
      </c>
      <c r="I83" s="191">
        <f>SUM(I25:I82)</f>
        <v>1150000.3048333335</v>
      </c>
      <c r="J83" s="191">
        <f>SUM(J25:J82)</f>
        <v>4072032.6824351735</v>
      </c>
      <c r="K83" s="44"/>
      <c r="L83" s="38"/>
    </row>
    <row r="84" spans="1:12" ht="15" x14ac:dyDescent="0.25">
      <c r="A84" s="29"/>
      <c r="B84" s="41"/>
      <c r="C84" s="35"/>
      <c r="D84" s="189"/>
      <c r="E84" s="192"/>
      <c r="F84" s="192"/>
      <c r="G84" s="192"/>
      <c r="H84" s="192"/>
      <c r="I84" s="192"/>
      <c r="J84" s="192"/>
      <c r="K84" s="40"/>
    </row>
    <row r="85" spans="1:12" ht="15.75" thickBot="1" x14ac:dyDescent="0.3">
      <c r="A85" s="29"/>
      <c r="B85" s="50" t="s">
        <v>61</v>
      </c>
      <c r="C85" s="51"/>
      <c r="D85" s="197">
        <f>D22-D83</f>
        <v>-0.12974669807590544</v>
      </c>
      <c r="E85" s="198">
        <f>E22-E83</f>
        <v>-0.27554512943606824</v>
      </c>
      <c r="F85" s="197">
        <f>F22-F83</f>
        <v>0.46451257751323283</v>
      </c>
      <c r="G85" s="197"/>
      <c r="H85" s="198">
        <f>H22-H83</f>
        <v>0.35877209533646237</v>
      </c>
      <c r="I85" s="198">
        <f>I22-I83</f>
        <v>-0.3048333334736526</v>
      </c>
      <c r="J85" s="198">
        <f>J22-J83</f>
        <v>0.11315951216965914</v>
      </c>
      <c r="K85" s="44"/>
      <c r="L85" s="168"/>
    </row>
    <row r="86" spans="1:12" ht="15" x14ac:dyDescent="0.25">
      <c r="A86" s="29"/>
      <c r="B86" s="41"/>
      <c r="C86" s="35"/>
      <c r="D86" s="38"/>
      <c r="E86" s="39"/>
      <c r="F86" s="39"/>
      <c r="G86" s="39"/>
      <c r="H86" s="39"/>
      <c r="I86" s="39"/>
      <c r="J86" s="39"/>
      <c r="K86" s="40"/>
    </row>
    <row r="87" spans="1:12" x14ac:dyDescent="0.2">
      <c r="H87" s="2"/>
    </row>
    <row r="88" spans="1:12" x14ac:dyDescent="0.2">
      <c r="H88" s="2"/>
    </row>
    <row r="89" spans="1:12" x14ac:dyDescent="0.2">
      <c r="B89" s="1"/>
      <c r="D89" s="1"/>
      <c r="F89" s="1"/>
      <c r="H89" s="2"/>
    </row>
    <row r="90" spans="1:12" x14ac:dyDescent="0.2">
      <c r="A90" s="1"/>
      <c r="B90" s="22"/>
      <c r="D90" s="22"/>
      <c r="F90" s="22"/>
      <c r="H90" s="2"/>
    </row>
    <row r="91" spans="1:12" x14ac:dyDescent="0.2">
      <c r="A91" s="1"/>
      <c r="B91" s="22"/>
      <c r="D91" s="22"/>
      <c r="F91" s="22"/>
      <c r="H91" s="2"/>
    </row>
    <row r="92" spans="1:12" x14ac:dyDescent="0.2">
      <c r="A92" s="1"/>
      <c r="B92" s="22"/>
      <c r="H92" s="2"/>
    </row>
    <row r="93" spans="1:12" x14ac:dyDescent="0.2">
      <c r="A93" s="1"/>
      <c r="B93" s="22"/>
      <c r="F93" s="22"/>
    </row>
    <row r="94" spans="1:12" x14ac:dyDescent="0.2">
      <c r="A94" s="1"/>
      <c r="B94" s="22"/>
      <c r="F94" s="22"/>
    </row>
    <row r="95" spans="1:12" x14ac:dyDescent="0.2">
      <c r="A95" s="1"/>
      <c r="B95" s="22"/>
      <c r="H95" s="2"/>
    </row>
    <row r="96" spans="1:12" x14ac:dyDescent="0.2">
      <c r="A96" s="1"/>
      <c r="B96" s="22"/>
      <c r="H96" s="2"/>
    </row>
    <row r="97" spans="2:11" x14ac:dyDescent="0.2">
      <c r="B97" s="150"/>
      <c r="H97" s="2"/>
    </row>
    <row r="98" spans="2:11" x14ac:dyDescent="0.2">
      <c r="B98" s="150"/>
      <c r="H98" s="2"/>
    </row>
    <row r="99" spans="2:11" x14ac:dyDescent="0.2">
      <c r="H99" s="2"/>
    </row>
    <row r="100" spans="2:11" x14ac:dyDescent="0.2">
      <c r="H100" s="2"/>
    </row>
    <row r="101" spans="2:11" x14ac:dyDescent="0.2">
      <c r="B101" s="1"/>
      <c r="D101" s="1"/>
      <c r="H101" s="2"/>
      <c r="I101" s="199"/>
    </row>
    <row r="102" spans="2:11" x14ac:dyDescent="0.2">
      <c r="B102" s="22"/>
      <c r="I102" s="22"/>
      <c r="K102" s="22"/>
    </row>
    <row r="103" spans="2:11" x14ac:dyDescent="0.2">
      <c r="B103" s="22"/>
      <c r="I103" s="22"/>
      <c r="K103" s="22"/>
    </row>
    <row r="104" spans="2:11" x14ac:dyDescent="0.2">
      <c r="I104" s="22"/>
    </row>
    <row r="105" spans="2:11" x14ac:dyDescent="0.2">
      <c r="I105" s="22"/>
    </row>
    <row r="106" spans="2:11" x14ac:dyDescent="0.2">
      <c r="I106" s="22"/>
    </row>
    <row r="108" spans="2:11" x14ac:dyDescent="0.2">
      <c r="B108" s="1"/>
      <c r="D108" s="1"/>
    </row>
    <row r="109" spans="2:11" x14ac:dyDescent="0.2">
      <c r="I109" s="1"/>
    </row>
    <row r="110" spans="2:11" x14ac:dyDescent="0.2">
      <c r="B110" s="22"/>
      <c r="I110" s="22"/>
    </row>
    <row r="111" spans="2:11" x14ac:dyDescent="0.2">
      <c r="B111" s="1"/>
    </row>
    <row r="112" spans="2:11" x14ac:dyDescent="0.2">
      <c r="B112" s="22"/>
    </row>
    <row r="113" spans="2:9" x14ac:dyDescent="0.2">
      <c r="B113" s="22"/>
    </row>
    <row r="114" spans="2:9" x14ac:dyDescent="0.2">
      <c r="B114" s="22"/>
      <c r="I114" s="1"/>
    </row>
    <row r="115" spans="2:9" x14ac:dyDescent="0.2">
      <c r="B115" s="22"/>
    </row>
    <row r="116" spans="2:9" x14ac:dyDescent="0.2">
      <c r="B116" s="22"/>
    </row>
    <row r="117" spans="2:9" x14ac:dyDescent="0.2">
      <c r="B117" s="22"/>
    </row>
    <row r="118" spans="2:9" x14ac:dyDescent="0.2">
      <c r="B118" s="1"/>
    </row>
    <row r="119" spans="2:9" x14ac:dyDescent="0.2">
      <c r="B119" s="1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B6" sqref="B6"/>
    </sheetView>
  </sheetViews>
  <sheetFormatPr baseColWidth="10" defaultRowHeight="12.75" x14ac:dyDescent="0.2"/>
  <cols>
    <col min="1" max="1" width="8.28515625" customWidth="1"/>
    <col min="2" max="2" width="36.7109375" customWidth="1"/>
    <col min="3" max="3" width="14.140625" customWidth="1"/>
    <col min="4" max="4" width="9.7109375" customWidth="1"/>
    <col min="5" max="5" width="13.5703125" customWidth="1"/>
    <col min="8" max="8" width="12" bestFit="1" customWidth="1"/>
    <col min="9" max="9" width="16.85546875" customWidth="1"/>
  </cols>
  <sheetData>
    <row r="1" spans="1:12" ht="15" x14ac:dyDescent="0.2">
      <c r="A1" s="10"/>
      <c r="B1" s="10"/>
      <c r="C1" s="10"/>
      <c r="D1" s="10"/>
      <c r="E1" s="10"/>
      <c r="F1" s="10"/>
      <c r="G1" s="10"/>
      <c r="H1" s="10"/>
      <c r="I1" s="5"/>
      <c r="J1" s="5"/>
      <c r="K1" s="5"/>
      <c r="L1" s="5"/>
    </row>
    <row r="2" spans="1:12" ht="15" x14ac:dyDescent="0.2">
      <c r="A2" s="12" t="s">
        <v>248</v>
      </c>
      <c r="B2" s="10"/>
      <c r="C2" s="10"/>
      <c r="D2" s="10"/>
      <c r="E2" s="10"/>
      <c r="F2" s="10"/>
      <c r="G2" s="10"/>
      <c r="H2" s="10"/>
      <c r="I2" s="5"/>
      <c r="J2" s="5"/>
      <c r="K2" s="5"/>
      <c r="L2" s="5"/>
    </row>
    <row r="3" spans="1:12" ht="15" x14ac:dyDescent="0.2">
      <c r="A3" s="10"/>
      <c r="B3" s="10" t="s">
        <v>38</v>
      </c>
      <c r="C3" s="10"/>
      <c r="D3" s="10">
        <v>5000</v>
      </c>
      <c r="E3" s="10"/>
      <c r="F3" s="10"/>
      <c r="G3" s="10"/>
      <c r="H3" s="10"/>
      <c r="I3" s="5"/>
      <c r="J3" s="5"/>
      <c r="K3" s="5"/>
      <c r="L3" s="5"/>
    </row>
    <row r="4" spans="1:12" ht="15" x14ac:dyDescent="0.2">
      <c r="A4" s="10"/>
      <c r="B4" s="10" t="s">
        <v>39</v>
      </c>
      <c r="C4" s="11"/>
      <c r="D4" s="10">
        <v>3000</v>
      </c>
      <c r="E4" s="10"/>
      <c r="F4" s="10"/>
      <c r="G4" s="10"/>
      <c r="H4" s="10"/>
      <c r="I4" s="5"/>
      <c r="J4" s="5"/>
      <c r="K4" s="5"/>
      <c r="L4" s="5"/>
    </row>
    <row r="5" spans="1:12" ht="15" x14ac:dyDescent="0.2">
      <c r="A5" s="10"/>
      <c r="B5" s="10" t="s">
        <v>37</v>
      </c>
      <c r="C5" s="11"/>
      <c r="D5" s="10">
        <v>4000</v>
      </c>
      <c r="E5" s="10"/>
      <c r="F5" s="10"/>
      <c r="G5" s="10"/>
      <c r="H5" s="10"/>
      <c r="I5" s="5"/>
      <c r="J5" s="5"/>
      <c r="K5" s="5"/>
      <c r="L5" s="5"/>
    </row>
    <row r="6" spans="1:12" ht="15" x14ac:dyDescent="0.2">
      <c r="A6" s="10"/>
      <c r="B6" s="10" t="s">
        <v>36</v>
      </c>
      <c r="C6" s="11"/>
      <c r="D6" s="11">
        <f>(320*5)*5</f>
        <v>8000</v>
      </c>
      <c r="E6" s="10"/>
      <c r="F6" s="10"/>
      <c r="G6" s="10"/>
      <c r="H6" s="10"/>
      <c r="I6" s="5"/>
      <c r="J6" s="5"/>
      <c r="K6" s="5"/>
      <c r="L6" s="5"/>
    </row>
    <row r="7" spans="1:12" ht="15" x14ac:dyDescent="0.2">
      <c r="A7" s="10"/>
      <c r="B7" s="10" t="s">
        <v>234</v>
      </c>
      <c r="C7" s="11"/>
      <c r="D7" s="10">
        <f>(320*6)*8</f>
        <v>15360</v>
      </c>
      <c r="E7" s="10"/>
      <c r="F7" s="10"/>
      <c r="G7" s="10"/>
      <c r="H7" s="10"/>
      <c r="I7" s="5"/>
      <c r="J7" s="5"/>
      <c r="K7" s="5"/>
      <c r="L7" s="5"/>
    </row>
    <row r="8" spans="1:12" ht="15" x14ac:dyDescent="0.2">
      <c r="A8" s="10"/>
      <c r="B8" s="10" t="s">
        <v>41</v>
      </c>
      <c r="C8" s="11"/>
      <c r="D8" s="10">
        <f>(320*7)*15</f>
        <v>33600</v>
      </c>
      <c r="E8" s="10"/>
      <c r="F8" s="10"/>
      <c r="G8" s="10"/>
      <c r="H8" s="10"/>
      <c r="I8" s="5"/>
      <c r="J8" s="5"/>
      <c r="K8" s="5"/>
      <c r="L8" s="5"/>
    </row>
    <row r="9" spans="1:12" ht="15" x14ac:dyDescent="0.2">
      <c r="A9" s="10"/>
      <c r="B9" s="10" t="s">
        <v>40</v>
      </c>
      <c r="C9" s="11"/>
      <c r="D9" s="10">
        <f>(320*2)*15</f>
        <v>9600</v>
      </c>
      <c r="E9" s="10"/>
      <c r="F9" s="10"/>
      <c r="G9" s="10"/>
      <c r="H9" s="10"/>
      <c r="I9" s="5"/>
      <c r="J9" s="5"/>
      <c r="K9" s="5"/>
      <c r="L9" s="5"/>
    </row>
    <row r="10" spans="1:12" ht="15" x14ac:dyDescent="0.2">
      <c r="A10" s="10"/>
      <c r="B10" s="10"/>
      <c r="C10" s="11"/>
      <c r="D10" s="10"/>
      <c r="E10" s="10"/>
      <c r="F10" s="10"/>
      <c r="G10" s="10"/>
      <c r="H10" s="10"/>
      <c r="I10" s="5"/>
      <c r="J10" s="5"/>
      <c r="K10" s="5"/>
      <c r="L10" s="5"/>
    </row>
    <row r="11" spans="1:12" x14ac:dyDescent="0.2">
      <c r="A11" s="10"/>
      <c r="B11" s="12" t="s">
        <v>32</v>
      </c>
      <c r="C11" s="18"/>
      <c r="D11" s="12">
        <f>SUM(D3:D9)</f>
        <v>78560</v>
      </c>
      <c r="E11" s="10"/>
      <c r="F11" s="10"/>
      <c r="G11" s="10"/>
      <c r="H11" s="10"/>
    </row>
    <row r="12" spans="1:12" x14ac:dyDescent="0.2">
      <c r="A12" s="10"/>
      <c r="B12" s="10"/>
      <c r="C12" s="10"/>
      <c r="D12" s="10"/>
      <c r="E12" s="10"/>
      <c r="F12" s="10"/>
      <c r="G12" s="10"/>
      <c r="H12" s="10"/>
    </row>
    <row r="13" spans="1:12" x14ac:dyDescent="0.2">
      <c r="A13" s="12" t="s">
        <v>249</v>
      </c>
      <c r="B13" s="10"/>
    </row>
    <row r="14" spans="1:12" x14ac:dyDescent="0.2">
      <c r="A14" s="10"/>
      <c r="B14" s="10" t="s">
        <v>33</v>
      </c>
      <c r="D14">
        <v>35000</v>
      </c>
    </row>
    <row r="15" spans="1:12" x14ac:dyDescent="0.2">
      <c r="A15" s="10"/>
      <c r="B15" s="10" t="s">
        <v>34</v>
      </c>
      <c r="D15">
        <v>16000</v>
      </c>
    </row>
    <row r="17" spans="1:9" x14ac:dyDescent="0.2">
      <c r="B17" s="12" t="s">
        <v>43</v>
      </c>
      <c r="D17" s="1">
        <f>D14+D15</f>
        <v>51000</v>
      </c>
    </row>
    <row r="19" spans="1:9" x14ac:dyDescent="0.2">
      <c r="A19" s="22"/>
      <c r="B19" s="22"/>
      <c r="C19" s="22"/>
      <c r="D19" s="22"/>
      <c r="E19" s="22"/>
      <c r="F19" s="22"/>
      <c r="G19" s="22"/>
      <c r="H19" s="22"/>
      <c r="I19" s="22"/>
    </row>
  </sheetData>
  <sheetProtection password="E8F6" sheet="1" objects="1" scenarios="1" selectLockedCells="1" selectUnlockedCells="1"/>
  <phoneticPr fontId="0" type="noConversion"/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opLeftCell="A67" workbookViewId="0">
      <selection activeCell="D102" sqref="D102"/>
    </sheetView>
  </sheetViews>
  <sheetFormatPr baseColWidth="10" defaultRowHeight="12.75" x14ac:dyDescent="0.2"/>
  <cols>
    <col min="1" max="1" width="26.140625" customWidth="1"/>
    <col min="2" max="2" width="20" customWidth="1"/>
    <col min="3" max="3" width="14.140625" customWidth="1"/>
    <col min="4" max="4" width="17.140625" bestFit="1" customWidth="1"/>
    <col min="5" max="5" width="14.140625" bestFit="1" customWidth="1"/>
    <col min="6" max="6" width="12" customWidth="1"/>
    <col min="8" max="8" width="21.5703125" customWidth="1"/>
  </cols>
  <sheetData>
    <row r="1" spans="1:5" ht="18.75" x14ac:dyDescent="0.3">
      <c r="A1" s="85" t="s">
        <v>65</v>
      </c>
      <c r="B1" s="12" t="s">
        <v>264</v>
      </c>
    </row>
    <row r="2" spans="1:5" x14ac:dyDescent="0.2">
      <c r="A2" s="53" t="s">
        <v>203</v>
      </c>
      <c r="B2" s="10"/>
    </row>
    <row r="3" spans="1:5" x14ac:dyDescent="0.2">
      <c r="A3" s="53"/>
      <c r="B3" s="10" t="s">
        <v>207</v>
      </c>
      <c r="C3" s="10" t="s">
        <v>208</v>
      </c>
      <c r="D3" s="10" t="s">
        <v>19</v>
      </c>
      <c r="E3" s="10" t="s">
        <v>1</v>
      </c>
    </row>
    <row r="4" spans="1:5" x14ac:dyDescent="0.2">
      <c r="A4" s="52" t="s">
        <v>66</v>
      </c>
      <c r="B4" s="56">
        <f>E45*0.3</f>
        <v>150845.461841857</v>
      </c>
      <c r="C4" s="56">
        <f>E40*0.3</f>
        <v>21904.891263835714</v>
      </c>
      <c r="D4" s="56">
        <f>E42*0.3</f>
        <v>327.3</v>
      </c>
      <c r="E4" s="56">
        <f>E43*0.3</f>
        <v>9073.4112386079396</v>
      </c>
    </row>
    <row r="5" spans="1:5" x14ac:dyDescent="0.2">
      <c r="A5" s="52" t="s">
        <v>67</v>
      </c>
      <c r="B5" s="56">
        <f>E45*0.5</f>
        <v>251409.10306976168</v>
      </c>
      <c r="C5" s="56">
        <f>E40*0.5</f>
        <v>36508.152106392859</v>
      </c>
      <c r="D5" s="56">
        <f>E42*0.5</f>
        <v>545.5</v>
      </c>
      <c r="E5" s="56">
        <f>E43*0.5</f>
        <v>15122.352064346567</v>
      </c>
    </row>
    <row r="6" spans="1:5" x14ac:dyDescent="0.2">
      <c r="A6" s="52" t="s">
        <v>68</v>
      </c>
      <c r="B6" s="56">
        <f>E45*0.2</f>
        <v>100563.64122790468</v>
      </c>
      <c r="C6" s="56">
        <f>E40*0.2</f>
        <v>14603.260842557145</v>
      </c>
      <c r="D6" s="56">
        <f>E42*0.2</f>
        <v>218.20000000000002</v>
      </c>
      <c r="E6" s="56">
        <f>E43*0.2</f>
        <v>6048.9408257386276</v>
      </c>
    </row>
    <row r="7" spans="1:5" x14ac:dyDescent="0.2">
      <c r="A7" s="52"/>
      <c r="B7" s="56"/>
      <c r="C7" s="10"/>
      <c r="D7" s="10"/>
      <c r="E7" s="10"/>
    </row>
    <row r="8" spans="1:5" x14ac:dyDescent="0.2">
      <c r="A8" s="53" t="s">
        <v>62</v>
      </c>
      <c r="B8" s="10"/>
      <c r="C8" s="56"/>
      <c r="D8" s="56"/>
      <c r="E8" s="56"/>
    </row>
    <row r="9" spans="1:5" x14ac:dyDescent="0.2">
      <c r="A9" s="52" t="s">
        <v>63</v>
      </c>
      <c r="B9" s="56">
        <f>E57*0.02</f>
        <v>11314.851182914083</v>
      </c>
      <c r="C9" s="56">
        <f>E53*0.02</f>
        <v>1643.9804987779467</v>
      </c>
      <c r="D9" s="56">
        <f>E55*0.02</f>
        <v>21.82</v>
      </c>
      <c r="E9" s="56">
        <f>E56*0.02</f>
        <v>680.59255235573426</v>
      </c>
    </row>
    <row r="10" spans="1:5" x14ac:dyDescent="0.2">
      <c r="A10" s="52" t="s">
        <v>64</v>
      </c>
      <c r="B10" s="56">
        <f>E57*0.38</f>
        <v>214982.17247536758</v>
      </c>
      <c r="C10" s="56">
        <f>E53*0.38</f>
        <v>31235.629476780985</v>
      </c>
      <c r="D10" s="56">
        <f>E55*0.38</f>
        <v>414.58</v>
      </c>
      <c r="E10" s="56">
        <f>E56*0.38</f>
        <v>12931.258494758951</v>
      </c>
    </row>
    <row r="11" spans="1:5" x14ac:dyDescent="0.2">
      <c r="A11" s="52" t="s">
        <v>205</v>
      </c>
      <c r="B11" s="56">
        <f>E57*0.6</f>
        <v>339445.53548742249</v>
      </c>
      <c r="C11" s="56">
        <f>E53*0.6</f>
        <v>49319.4149633384</v>
      </c>
      <c r="D11" s="56">
        <f>E55*0.6</f>
        <v>654.6</v>
      </c>
      <c r="E11" s="56">
        <f>E56*0.6</f>
        <v>20417.776570672027</v>
      </c>
    </row>
    <row r="12" spans="1:5" x14ac:dyDescent="0.2">
      <c r="A12" s="52"/>
      <c r="B12" s="56"/>
      <c r="C12" s="56"/>
      <c r="D12" s="56"/>
      <c r="E12" s="56"/>
    </row>
    <row r="13" spans="1:5" x14ac:dyDescent="0.2">
      <c r="A13" s="53" t="s">
        <v>229</v>
      </c>
      <c r="B13" s="10"/>
      <c r="C13" s="56"/>
      <c r="D13" s="56"/>
      <c r="E13" s="56"/>
    </row>
    <row r="14" spans="1:5" x14ac:dyDescent="0.2">
      <c r="A14" s="52" t="s">
        <v>206</v>
      </c>
      <c r="B14" s="11">
        <f>E68</f>
        <v>479588.81672192703</v>
      </c>
      <c r="C14" s="56">
        <f>E64</f>
        <v>69430.186877333326</v>
      </c>
      <c r="D14" s="56">
        <v>1091</v>
      </c>
      <c r="E14" s="56">
        <f>E67</f>
        <v>28847.44762237155</v>
      </c>
    </row>
    <row r="15" spans="1:5" x14ac:dyDescent="0.2">
      <c r="A15" s="52"/>
      <c r="B15" s="10"/>
      <c r="C15" s="56"/>
      <c r="D15" s="56"/>
      <c r="E15" s="56"/>
    </row>
    <row r="16" spans="1:5" x14ac:dyDescent="0.2">
      <c r="A16" s="53" t="s">
        <v>254</v>
      </c>
      <c r="B16" s="10"/>
      <c r="C16" s="56"/>
      <c r="D16" s="56"/>
      <c r="E16" s="56"/>
    </row>
    <row r="17" spans="1:11" x14ac:dyDescent="0.2">
      <c r="A17" s="52" t="s">
        <v>206</v>
      </c>
      <c r="B17" s="11">
        <f>E78</f>
        <v>227381.67136611941</v>
      </c>
      <c r="C17" s="56">
        <f>E74</f>
        <v>32926.476911616002</v>
      </c>
      <c r="D17" s="56">
        <f>E76</f>
        <v>1091</v>
      </c>
      <c r="E17" s="56">
        <f>E77</f>
        <v>13677.093014503424</v>
      </c>
    </row>
    <row r="18" spans="1:11" x14ac:dyDescent="0.2">
      <c r="A18" s="52"/>
      <c r="B18" s="11"/>
      <c r="C18" s="56"/>
      <c r="D18" s="56"/>
      <c r="E18" s="56"/>
    </row>
    <row r="19" spans="1:11" x14ac:dyDescent="0.2">
      <c r="A19" s="53" t="s">
        <v>233</v>
      </c>
      <c r="B19" s="10"/>
      <c r="C19" s="56"/>
      <c r="D19" s="56"/>
      <c r="E19" s="56"/>
    </row>
    <row r="20" spans="1:11" x14ac:dyDescent="0.2">
      <c r="A20" s="52" t="s">
        <v>230</v>
      </c>
      <c r="B20" s="11">
        <f>E88</f>
        <v>309257.28693524585</v>
      </c>
      <c r="C20" s="56">
        <f>E84</f>
        <v>44843.484548397333</v>
      </c>
      <c r="D20" s="56">
        <v>1091</v>
      </c>
      <c r="E20" s="56">
        <f>E87</f>
        <v>18601.942071292986</v>
      </c>
    </row>
    <row r="21" spans="1:11" x14ac:dyDescent="0.2">
      <c r="A21" s="52"/>
      <c r="B21" s="10"/>
      <c r="C21" s="56"/>
      <c r="D21" s="56"/>
      <c r="E21" s="56"/>
      <c r="J21" s="22"/>
      <c r="K21" s="147"/>
    </row>
    <row r="22" spans="1:11" x14ac:dyDescent="0.2">
      <c r="A22" s="53" t="s">
        <v>252</v>
      </c>
      <c r="B22" s="10"/>
      <c r="C22" s="56"/>
      <c r="D22" s="56"/>
      <c r="E22" s="56"/>
      <c r="J22" s="22"/>
      <c r="K22" s="147"/>
    </row>
    <row r="23" spans="1:11" x14ac:dyDescent="0.2">
      <c r="A23" s="52" t="s">
        <v>258</v>
      </c>
      <c r="B23" s="11">
        <f>E98</f>
        <v>51393.837293320714</v>
      </c>
      <c r="C23" s="56">
        <f>E94</f>
        <v>7480.3804191360014</v>
      </c>
      <c r="D23" s="56">
        <v>0</v>
      </c>
      <c r="E23" s="56">
        <f>E97</f>
        <v>3091.3586341847049</v>
      </c>
      <c r="J23" s="22"/>
      <c r="K23" s="147"/>
    </row>
    <row r="24" spans="1:11" x14ac:dyDescent="0.2">
      <c r="A24" s="52"/>
      <c r="B24" s="11"/>
      <c r="C24" s="56"/>
      <c r="D24" s="56"/>
      <c r="E24" s="56"/>
      <c r="J24" s="22"/>
      <c r="K24" s="147"/>
    </row>
    <row r="25" spans="1:11" x14ac:dyDescent="0.2">
      <c r="A25" s="53" t="s">
        <v>69</v>
      </c>
      <c r="B25" s="11"/>
      <c r="C25" s="11"/>
      <c r="D25" s="11"/>
      <c r="E25" s="11"/>
      <c r="F25" s="56"/>
      <c r="J25" s="22"/>
      <c r="K25" s="147"/>
    </row>
    <row r="26" spans="1:11" x14ac:dyDescent="0.2">
      <c r="A26" s="52">
        <v>1255</v>
      </c>
      <c r="B26" s="11">
        <f>B4+B9+B14+B17+B20</f>
        <v>1178388.0880480632</v>
      </c>
      <c r="C26" s="11">
        <f>C4+C9+C14+C17+C20</f>
        <v>170749.02009996033</v>
      </c>
      <c r="D26" s="11">
        <f>D4+D9+D14+D17+D20</f>
        <v>3622.12</v>
      </c>
      <c r="E26" s="11">
        <f>E4+E9+E14+E17+E20</f>
        <v>70880.486499131628</v>
      </c>
      <c r="F26" s="10"/>
      <c r="J26" s="22"/>
      <c r="K26" s="11"/>
    </row>
    <row r="27" spans="1:11" x14ac:dyDescent="0.2">
      <c r="A27" s="10">
        <v>1260</v>
      </c>
      <c r="B27" s="11">
        <f>B5+B10+B23</f>
        <v>517785.11283845</v>
      </c>
      <c r="C27" s="11">
        <f>C5+C10+C23</f>
        <v>75224.162002309837</v>
      </c>
      <c r="D27" s="11">
        <f>D5+D10+D23</f>
        <v>960.07999999999993</v>
      </c>
      <c r="E27" s="11">
        <f>E5+E10+E23</f>
        <v>31144.969193290221</v>
      </c>
      <c r="F27" s="56"/>
    </row>
    <row r="28" spans="1:11" x14ac:dyDescent="0.2">
      <c r="A28" s="52">
        <v>1265</v>
      </c>
      <c r="B28" s="11">
        <f>B11</f>
        <v>339445.53548742249</v>
      </c>
      <c r="C28" s="11">
        <f>C11</f>
        <v>49319.4149633384</v>
      </c>
      <c r="D28" s="11">
        <f>D11</f>
        <v>654.6</v>
      </c>
      <c r="E28" s="11">
        <f>E11</f>
        <v>20417.776570672027</v>
      </c>
      <c r="F28" s="56"/>
      <c r="G28" s="2"/>
    </row>
    <row r="29" spans="1:11" x14ac:dyDescent="0.2">
      <c r="A29" s="52">
        <v>1270</v>
      </c>
      <c r="B29" s="11">
        <f>B6</f>
        <v>100563.64122790468</v>
      </c>
      <c r="C29" s="11">
        <f>C6</f>
        <v>14603.260842557145</v>
      </c>
      <c r="D29" s="11">
        <f>D6</f>
        <v>218.20000000000002</v>
      </c>
      <c r="E29" s="11">
        <f>E6</f>
        <v>6048.9408257386276</v>
      </c>
      <c r="F29" s="56"/>
      <c r="G29" s="2"/>
    </row>
    <row r="30" spans="1:11" x14ac:dyDescent="0.2">
      <c r="A30" s="52"/>
      <c r="B30" s="148">
        <f>SUM(B26:B29)</f>
        <v>2136182.3776018401</v>
      </c>
      <c r="C30" s="148">
        <f>SUM(C26:C29)</f>
        <v>309895.85790816566</v>
      </c>
      <c r="D30" s="148">
        <f>SUM(D26:D29)</f>
        <v>5455</v>
      </c>
      <c r="E30" s="148">
        <f>SUM(E26:E29)</f>
        <v>128492.1730888325</v>
      </c>
      <c r="F30" s="2">
        <f>B30-C30-D30-E30</f>
        <v>1692339.346604842</v>
      </c>
      <c r="G30" s="2"/>
    </row>
    <row r="31" spans="1:11" x14ac:dyDescent="0.2">
      <c r="A31" s="52"/>
      <c r="B31" s="11"/>
      <c r="C31" s="11"/>
      <c r="D31" s="11"/>
      <c r="E31" s="11"/>
    </row>
    <row r="32" spans="1:11" x14ac:dyDescent="0.2">
      <c r="B32" s="13" t="s">
        <v>30</v>
      </c>
      <c r="D32" s="13" t="s">
        <v>27</v>
      </c>
      <c r="E32" s="13" t="s">
        <v>31</v>
      </c>
      <c r="G32" s="54" t="s">
        <v>44</v>
      </c>
      <c r="H32" s="54" t="s">
        <v>255</v>
      </c>
      <c r="I32" s="54"/>
    </row>
    <row r="33" spans="1:11" x14ac:dyDescent="0.2">
      <c r="B33" s="14" t="s">
        <v>29</v>
      </c>
      <c r="C33" s="14" t="s">
        <v>13</v>
      </c>
      <c r="D33" s="14" t="s">
        <v>28</v>
      </c>
      <c r="E33" s="15" t="s">
        <v>14</v>
      </c>
      <c r="G33" s="55">
        <v>1</v>
      </c>
      <c r="H33" s="14">
        <v>2016</v>
      </c>
      <c r="I33" s="14"/>
    </row>
    <row r="34" spans="1:11" ht="15" x14ac:dyDescent="0.2">
      <c r="A34" s="144" t="s">
        <v>15</v>
      </c>
      <c r="B34" s="93">
        <f>+(G34/12*D34+(H34/12*D34))</f>
        <v>30395.866666666672</v>
      </c>
      <c r="C34" s="93">
        <f>B34*12</f>
        <v>364750.40000000008</v>
      </c>
      <c r="D34" s="94">
        <v>0.81200000000000006</v>
      </c>
      <c r="E34" s="93">
        <f>+B34*11</f>
        <v>334354.53333333338</v>
      </c>
      <c r="F34" s="95"/>
      <c r="G34" s="92">
        <v>449200</v>
      </c>
      <c r="H34" s="92"/>
      <c r="I34" s="5"/>
    </row>
    <row r="35" spans="1:11" ht="15.75" x14ac:dyDescent="0.25">
      <c r="A35" s="96" t="s">
        <v>35</v>
      </c>
      <c r="B35" s="93">
        <v>1333.73</v>
      </c>
      <c r="C35" s="93">
        <f>+B35*12</f>
        <v>16004.76</v>
      </c>
      <c r="D35" s="94"/>
      <c r="E35" s="93">
        <f>+B35*11</f>
        <v>14671.03</v>
      </c>
      <c r="F35" s="95"/>
      <c r="G35" s="92"/>
      <c r="H35" s="97"/>
      <c r="I35" s="5"/>
    </row>
    <row r="36" spans="1:11" x14ac:dyDescent="0.2">
      <c r="A36" s="95"/>
      <c r="B36" s="95"/>
      <c r="C36" s="95"/>
      <c r="D36" s="95"/>
      <c r="E36" s="95"/>
      <c r="F36" s="95"/>
      <c r="G36" s="92"/>
      <c r="H36" s="92"/>
      <c r="I36" s="10"/>
    </row>
    <row r="37" spans="1:11" x14ac:dyDescent="0.2">
      <c r="A37" s="92" t="s">
        <v>18</v>
      </c>
      <c r="B37" s="98"/>
      <c r="C37" s="99">
        <f>SUM(C34:C36)</f>
        <v>380755.16000000009</v>
      </c>
      <c r="D37" s="94"/>
      <c r="E37" s="99">
        <f>SUM(E34:E35)</f>
        <v>349025.56333333341</v>
      </c>
      <c r="F37" s="95"/>
      <c r="G37" s="92"/>
      <c r="H37" s="92"/>
      <c r="I37" s="10"/>
    </row>
    <row r="38" spans="1:11" x14ac:dyDescent="0.2">
      <c r="A38" s="92"/>
      <c r="B38" s="98"/>
      <c r="C38" s="100"/>
      <c r="D38" s="94"/>
      <c r="E38" s="100"/>
      <c r="F38" s="95"/>
      <c r="G38" s="92"/>
      <c r="H38" s="92"/>
      <c r="I38" s="10"/>
    </row>
    <row r="39" spans="1:11" x14ac:dyDescent="0.2">
      <c r="A39" s="96" t="s">
        <v>199</v>
      </c>
      <c r="B39" s="93"/>
      <c r="C39" s="93"/>
      <c r="D39" s="94"/>
      <c r="E39" s="93">
        <f>(+E37+E41)*0.12</f>
        <v>42692.806906933336</v>
      </c>
      <c r="F39" s="96"/>
      <c r="G39" s="92"/>
      <c r="H39" s="101"/>
    </row>
    <row r="40" spans="1:11" x14ac:dyDescent="0.2">
      <c r="A40" s="96" t="s">
        <v>267</v>
      </c>
      <c r="B40" s="93"/>
      <c r="C40" s="93" t="s">
        <v>12</v>
      </c>
      <c r="D40" s="94"/>
      <c r="E40" s="93">
        <f>(+E37+E39)*0.1864</f>
        <v>73016.304212785719</v>
      </c>
      <c r="F40" s="102"/>
      <c r="G40" s="92"/>
      <c r="H40" s="101"/>
    </row>
    <row r="41" spans="1:11" x14ac:dyDescent="0.2">
      <c r="A41" s="96" t="s">
        <v>266</v>
      </c>
      <c r="B41" s="93"/>
      <c r="C41" s="93" t="s">
        <v>12</v>
      </c>
      <c r="D41" s="94"/>
      <c r="E41" s="93">
        <f>+(E37*0.029)/12*8</f>
        <v>6747.8275577777795</v>
      </c>
      <c r="F41" s="96"/>
      <c r="G41" s="92"/>
      <c r="H41" s="101"/>
    </row>
    <row r="42" spans="1:11" x14ac:dyDescent="0.2">
      <c r="A42" s="96" t="s">
        <v>19</v>
      </c>
      <c r="B42" s="93"/>
      <c r="C42" s="93"/>
      <c r="D42" s="94"/>
      <c r="E42" s="93">
        <v>1091</v>
      </c>
      <c r="F42" s="96"/>
      <c r="G42" s="92"/>
      <c r="H42" s="101"/>
    </row>
    <row r="43" spans="1:11" x14ac:dyDescent="0.2">
      <c r="A43" s="96" t="s">
        <v>20</v>
      </c>
      <c r="B43" s="93"/>
      <c r="C43" s="93"/>
      <c r="D43" s="94"/>
      <c r="E43" s="103">
        <f>SUM(E37:E42)*0.064</f>
        <v>30244.704128693134</v>
      </c>
      <c r="F43" s="96"/>
      <c r="G43" s="92"/>
      <c r="H43" s="101"/>
    </row>
    <row r="44" spans="1:11" x14ac:dyDescent="0.2">
      <c r="A44" s="96"/>
      <c r="B44" s="93"/>
      <c r="C44" s="93"/>
      <c r="D44" s="94"/>
      <c r="E44" s="93"/>
      <c r="F44" s="96"/>
      <c r="G44" s="92"/>
      <c r="H44" s="101"/>
      <c r="K44" s="2"/>
    </row>
    <row r="45" spans="1:11" x14ac:dyDescent="0.2">
      <c r="A45" s="92" t="s">
        <v>21</v>
      </c>
      <c r="B45" s="98"/>
      <c r="C45" s="93"/>
      <c r="D45" s="94"/>
      <c r="E45" s="99">
        <f>SUM(E37:E43)</f>
        <v>502818.20613952336</v>
      </c>
      <c r="F45" s="96"/>
      <c r="G45" s="92"/>
      <c r="H45" s="101"/>
      <c r="J45" s="2"/>
    </row>
    <row r="46" spans="1:11" x14ac:dyDescent="0.2">
      <c r="G46" s="12"/>
      <c r="H46" s="1"/>
    </row>
    <row r="47" spans="1:11" x14ac:dyDescent="0.2">
      <c r="A47" s="143" t="s">
        <v>16</v>
      </c>
      <c r="B47" s="105">
        <f>+(G47/12)+(H47/12)</f>
        <v>32502.75</v>
      </c>
      <c r="C47" s="105">
        <f>+B47*12</f>
        <v>390033</v>
      </c>
      <c r="D47" s="106">
        <v>1</v>
      </c>
      <c r="E47" s="105">
        <f>+B47*11</f>
        <v>357530.25</v>
      </c>
      <c r="F47" s="107"/>
      <c r="G47" s="104">
        <v>390033</v>
      </c>
      <c r="H47" s="104"/>
    </row>
    <row r="48" spans="1:11" x14ac:dyDescent="0.2">
      <c r="A48" s="108" t="s">
        <v>17</v>
      </c>
      <c r="B48" s="105">
        <v>2486.34</v>
      </c>
      <c r="C48" s="105">
        <f>+B48*12</f>
        <v>29836.080000000002</v>
      </c>
      <c r="D48" s="106"/>
      <c r="E48" s="105">
        <f>+B48*11</f>
        <v>27349.74</v>
      </c>
      <c r="F48" s="107"/>
      <c r="G48" s="104"/>
      <c r="H48" s="107"/>
    </row>
    <row r="49" spans="1:13" x14ac:dyDescent="0.2">
      <c r="A49" s="108"/>
      <c r="B49" s="105"/>
      <c r="C49" s="105"/>
      <c r="D49" s="106"/>
      <c r="E49" s="105"/>
      <c r="F49" s="107"/>
      <c r="G49" s="104"/>
      <c r="H49" s="107"/>
    </row>
    <row r="50" spans="1:13" x14ac:dyDescent="0.2">
      <c r="A50" s="104" t="s">
        <v>18</v>
      </c>
      <c r="B50" s="109"/>
      <c r="C50" s="110">
        <f>SUM(C44:C48)</f>
        <v>419869.08</v>
      </c>
      <c r="D50" s="106"/>
      <c r="E50" s="110">
        <f>SUM(E47:E48)</f>
        <v>384879.99</v>
      </c>
      <c r="F50" s="107"/>
      <c r="G50" s="104"/>
      <c r="H50" s="107"/>
    </row>
    <row r="51" spans="1:13" x14ac:dyDescent="0.2">
      <c r="A51" s="107"/>
      <c r="B51" s="107"/>
      <c r="C51" s="107"/>
      <c r="D51" s="107"/>
      <c r="E51" s="107"/>
      <c r="F51" s="107"/>
      <c r="G51" s="104"/>
      <c r="H51" s="107"/>
    </row>
    <row r="52" spans="1:13" x14ac:dyDescent="0.2">
      <c r="A52" s="108" t="s">
        <v>200</v>
      </c>
      <c r="B52" s="105"/>
      <c r="C52" s="105"/>
      <c r="D52" s="106"/>
      <c r="E52" s="105">
        <f>(+E50+E54)*0.143</f>
        <v>56101.903449019992</v>
      </c>
      <c r="F52" s="108"/>
      <c r="G52" s="104"/>
      <c r="H52" s="169"/>
      <c r="M52" s="2"/>
    </row>
    <row r="53" spans="1:13" x14ac:dyDescent="0.2">
      <c r="A53" s="108" t="s">
        <v>267</v>
      </c>
      <c r="B53" s="105"/>
      <c r="C53" s="105" t="s">
        <v>12</v>
      </c>
      <c r="D53" s="106"/>
      <c r="E53" s="105">
        <f xml:space="preserve"> (+E50+E52)*0.1864</f>
        <v>82199.024938897332</v>
      </c>
      <c r="F53" s="111"/>
      <c r="G53" s="104"/>
      <c r="H53" s="107"/>
      <c r="M53" s="2"/>
    </row>
    <row r="54" spans="1:13" x14ac:dyDescent="0.2">
      <c r="A54" s="108" t="s">
        <v>266</v>
      </c>
      <c r="B54" s="105"/>
      <c r="C54" s="105" t="s">
        <v>12</v>
      </c>
      <c r="D54" s="106"/>
      <c r="E54" s="105">
        <f>+(E50*0.029)/12*8</f>
        <v>7441.01314</v>
      </c>
      <c r="F54" s="108"/>
      <c r="G54" s="104"/>
      <c r="H54" s="169"/>
    </row>
    <row r="55" spans="1:13" x14ac:dyDescent="0.2">
      <c r="A55" s="108" t="s">
        <v>19</v>
      </c>
      <c r="B55" s="105"/>
      <c r="C55" s="105"/>
      <c r="D55" s="106"/>
      <c r="E55" s="105">
        <v>1091</v>
      </c>
      <c r="F55" s="108"/>
      <c r="G55" s="104"/>
      <c r="H55" s="107"/>
      <c r="M55" s="2"/>
    </row>
    <row r="56" spans="1:13" x14ac:dyDescent="0.2">
      <c r="A56" s="108" t="s">
        <v>20</v>
      </c>
      <c r="B56" s="105"/>
      <c r="C56" s="105"/>
      <c r="D56" s="106"/>
      <c r="E56" s="112">
        <f>SUM(E50:E55)*0.064</f>
        <v>34029.627617786711</v>
      </c>
      <c r="F56" s="108"/>
      <c r="G56" s="104"/>
      <c r="H56" s="107"/>
    </row>
    <row r="57" spans="1:13" x14ac:dyDescent="0.2">
      <c r="A57" s="104" t="s">
        <v>21</v>
      </c>
      <c r="B57" s="109"/>
      <c r="C57" s="105"/>
      <c r="D57" s="106"/>
      <c r="E57" s="110">
        <f>SUM(E50:E56)</f>
        <v>565742.55914570414</v>
      </c>
      <c r="F57" s="108"/>
      <c r="G57" s="104"/>
      <c r="H57" s="107"/>
      <c r="J57" s="2"/>
      <c r="M57" s="2"/>
    </row>
    <row r="58" spans="1:13" x14ac:dyDescent="0.2">
      <c r="G58" s="12"/>
    </row>
    <row r="59" spans="1:13" x14ac:dyDescent="0.2">
      <c r="G59" s="12"/>
    </row>
    <row r="60" spans="1:13" x14ac:dyDescent="0.2">
      <c r="A60" s="140" t="s">
        <v>204</v>
      </c>
      <c r="B60" s="114">
        <f>+(G60/12*D60)</f>
        <v>30158.333333333332</v>
      </c>
      <c r="C60" s="114">
        <f>+B60*12</f>
        <v>361900</v>
      </c>
      <c r="D60" s="115">
        <v>0.7</v>
      </c>
      <c r="E60" s="114">
        <f>+B60*11</f>
        <v>331741.66666666663</v>
      </c>
      <c r="F60" s="116"/>
      <c r="G60" s="113">
        <v>517000</v>
      </c>
      <c r="H60" s="180"/>
    </row>
    <row r="61" spans="1:13" x14ac:dyDescent="0.2">
      <c r="A61" s="117"/>
      <c r="B61" s="117"/>
      <c r="C61" s="117"/>
      <c r="D61" s="117"/>
      <c r="E61" s="117"/>
      <c r="F61" s="117"/>
      <c r="G61" s="113"/>
      <c r="H61" s="117"/>
    </row>
    <row r="62" spans="1:13" x14ac:dyDescent="0.2">
      <c r="A62" s="113" t="s">
        <v>18</v>
      </c>
      <c r="B62" s="118"/>
      <c r="C62" s="119">
        <f>SUM(C57:C61)</f>
        <v>361900</v>
      </c>
      <c r="D62" s="115"/>
      <c r="E62" s="119">
        <f>E60</f>
        <v>331741.66666666663</v>
      </c>
      <c r="F62" s="117"/>
      <c r="G62" s="113"/>
      <c r="H62" s="117"/>
    </row>
    <row r="63" spans="1:13" x14ac:dyDescent="0.2">
      <c r="A63" s="116" t="s">
        <v>199</v>
      </c>
      <c r="B63" s="114"/>
      <c r="C63" s="114"/>
      <c r="D63" s="115"/>
      <c r="E63" s="114">
        <f>(+E62+E65)*0.12</f>
        <v>40737.876666666656</v>
      </c>
      <c r="F63" s="117"/>
      <c r="G63" s="113"/>
      <c r="H63" s="117"/>
    </row>
    <row r="64" spans="1:13" ht="14.25" x14ac:dyDescent="0.3">
      <c r="A64" s="116" t="s">
        <v>267</v>
      </c>
      <c r="B64" s="114"/>
      <c r="C64" s="114" t="s">
        <v>12</v>
      </c>
      <c r="D64" s="115"/>
      <c r="E64" s="114">
        <f xml:space="preserve"> (+E62+E63)*0.1864</f>
        <v>69430.186877333326</v>
      </c>
      <c r="F64" s="117"/>
      <c r="G64" s="120"/>
      <c r="H64" s="117"/>
    </row>
    <row r="65" spans="1:12" ht="14.25" x14ac:dyDescent="0.3">
      <c r="A65" s="116" t="s">
        <v>259</v>
      </c>
      <c r="B65" s="114"/>
      <c r="C65" s="114" t="s">
        <v>12</v>
      </c>
      <c r="D65" s="115"/>
      <c r="E65" s="114">
        <f>+(E62*0.035)/12*8</f>
        <v>7740.6388888888896</v>
      </c>
      <c r="F65" s="117"/>
      <c r="G65" s="120"/>
      <c r="H65" s="117"/>
    </row>
    <row r="66" spans="1:12" ht="14.25" x14ac:dyDescent="0.3">
      <c r="A66" s="116" t="s">
        <v>19</v>
      </c>
      <c r="B66" s="114"/>
      <c r="C66" s="114"/>
      <c r="D66" s="115"/>
      <c r="E66" s="114">
        <v>1091</v>
      </c>
      <c r="F66" s="117"/>
      <c r="G66" s="120"/>
      <c r="H66" s="117"/>
    </row>
    <row r="67" spans="1:12" ht="14.25" x14ac:dyDescent="0.3">
      <c r="A67" s="116" t="s">
        <v>20</v>
      </c>
      <c r="B67" s="114"/>
      <c r="C67" s="114"/>
      <c r="D67" s="115"/>
      <c r="E67" s="121">
        <f>SUM(E62:E66)*0.064</f>
        <v>28847.44762237155</v>
      </c>
      <c r="F67" s="117"/>
      <c r="G67" s="120"/>
      <c r="H67" s="117"/>
      <c r="K67" s="172"/>
      <c r="L67" s="172"/>
    </row>
    <row r="68" spans="1:12" x14ac:dyDescent="0.2">
      <c r="A68" s="113" t="s">
        <v>21</v>
      </c>
      <c r="B68" s="118"/>
      <c r="C68" s="114"/>
      <c r="D68" s="115"/>
      <c r="E68" s="119">
        <f>SUM(E62:E67)</f>
        <v>479588.81672192703</v>
      </c>
      <c r="F68" s="117"/>
      <c r="G68" s="117"/>
      <c r="H68" s="117"/>
      <c r="J68" s="2"/>
    </row>
    <row r="70" spans="1:12" x14ac:dyDescent="0.2">
      <c r="A70" s="141" t="s">
        <v>251</v>
      </c>
      <c r="B70" s="132">
        <f>+(G70/10*D70)</f>
        <v>17488</v>
      </c>
      <c r="C70" s="132">
        <f>+B70*10</f>
        <v>174880</v>
      </c>
      <c r="D70" s="133">
        <v>0.4</v>
      </c>
      <c r="E70" s="132">
        <f>+B70*9</f>
        <v>157392</v>
      </c>
      <c r="F70" s="134"/>
      <c r="G70" s="131">
        <v>437200</v>
      </c>
      <c r="H70" s="178"/>
    </row>
    <row r="71" spans="1:12" x14ac:dyDescent="0.2">
      <c r="A71" s="135"/>
      <c r="B71" s="135"/>
      <c r="C71" s="135"/>
      <c r="D71" s="135"/>
      <c r="E71" s="135"/>
      <c r="F71" s="135"/>
      <c r="G71" s="131"/>
      <c r="H71" s="135"/>
    </row>
    <row r="72" spans="1:12" x14ac:dyDescent="0.2">
      <c r="A72" s="131" t="s">
        <v>18</v>
      </c>
      <c r="B72" s="136"/>
      <c r="C72" s="137">
        <f>SUM(C67:C71)</f>
        <v>174880</v>
      </c>
      <c r="D72" s="133"/>
      <c r="E72" s="137">
        <f>E70</f>
        <v>157392</v>
      </c>
      <c r="F72" s="135"/>
      <c r="G72" s="131"/>
      <c r="H72" s="135"/>
    </row>
    <row r="73" spans="1:12" x14ac:dyDescent="0.2">
      <c r="A73" s="134" t="s">
        <v>199</v>
      </c>
      <c r="B73" s="132"/>
      <c r="C73" s="132"/>
      <c r="D73" s="133"/>
      <c r="E73" s="132">
        <f>(+E72+E75)*0.12</f>
        <v>19252.189440000002</v>
      </c>
      <c r="F73" s="135"/>
      <c r="G73" s="131"/>
      <c r="H73" s="135"/>
    </row>
    <row r="74" spans="1:12" ht="14.25" x14ac:dyDescent="0.3">
      <c r="A74" s="134" t="s">
        <v>268</v>
      </c>
      <c r="B74" s="132"/>
      <c r="C74" s="132" t="s">
        <v>12</v>
      </c>
      <c r="D74" s="133"/>
      <c r="E74" s="132">
        <f xml:space="preserve"> (+E72+E73)*0.1864</f>
        <v>32926.476911616002</v>
      </c>
      <c r="F74" s="135"/>
      <c r="G74" s="138"/>
      <c r="H74" s="135"/>
    </row>
    <row r="75" spans="1:12" ht="14.25" x14ac:dyDescent="0.3">
      <c r="A75" s="134" t="s">
        <v>269</v>
      </c>
      <c r="B75" s="132"/>
      <c r="C75" s="132" t="s">
        <v>12</v>
      </c>
      <c r="D75" s="133"/>
      <c r="E75" s="132">
        <f>+(E72*0.029)/12*8</f>
        <v>3042.9120000000003</v>
      </c>
      <c r="F75" s="135"/>
      <c r="G75" s="138"/>
      <c r="H75" s="135"/>
    </row>
    <row r="76" spans="1:12" ht="14.25" x14ac:dyDescent="0.3">
      <c r="A76" s="134" t="s">
        <v>19</v>
      </c>
      <c r="B76" s="132"/>
      <c r="C76" s="132"/>
      <c r="D76" s="133"/>
      <c r="E76" s="132">
        <v>1091</v>
      </c>
      <c r="F76" s="135"/>
      <c r="G76" s="138"/>
      <c r="H76" s="135"/>
    </row>
    <row r="77" spans="1:12" ht="14.25" x14ac:dyDescent="0.3">
      <c r="A77" s="134" t="s">
        <v>20</v>
      </c>
      <c r="B77" s="132"/>
      <c r="C77" s="132"/>
      <c r="D77" s="133"/>
      <c r="E77" s="139">
        <f>SUM(E72:E76)*0.064</f>
        <v>13677.093014503424</v>
      </c>
      <c r="F77" s="135"/>
      <c r="G77" s="138"/>
      <c r="H77" s="135"/>
    </row>
    <row r="78" spans="1:12" x14ac:dyDescent="0.2">
      <c r="A78" s="131" t="s">
        <v>21</v>
      </c>
      <c r="B78" s="136"/>
      <c r="C78" s="132"/>
      <c r="D78" s="133"/>
      <c r="E78" s="137">
        <f>SUM(E72:E77)</f>
        <v>227381.67136611941</v>
      </c>
      <c r="F78" s="135"/>
      <c r="G78" s="135"/>
      <c r="H78" s="135"/>
      <c r="J78" s="2"/>
    </row>
    <row r="80" spans="1:12" x14ac:dyDescent="0.2">
      <c r="A80" s="142" t="s">
        <v>232</v>
      </c>
      <c r="B80" s="123">
        <f>+(G80/12*D80)</f>
        <v>19486.958333333332</v>
      </c>
      <c r="C80" s="123">
        <f>+B80*12</f>
        <v>233843.5</v>
      </c>
      <c r="D80" s="124">
        <v>0.5</v>
      </c>
      <c r="E80" s="123">
        <f>+B80*11</f>
        <v>214356.54166666666</v>
      </c>
      <c r="F80" s="125"/>
      <c r="G80" s="122">
        <v>467687</v>
      </c>
      <c r="H80" s="179"/>
    </row>
    <row r="81" spans="1:10" x14ac:dyDescent="0.2">
      <c r="A81" s="126"/>
      <c r="B81" s="126"/>
      <c r="C81" s="126"/>
      <c r="D81" s="126"/>
      <c r="E81" s="126"/>
      <c r="F81" s="126"/>
      <c r="G81" s="122"/>
      <c r="H81" s="126"/>
    </row>
    <row r="82" spans="1:10" x14ac:dyDescent="0.2">
      <c r="A82" s="122" t="s">
        <v>18</v>
      </c>
      <c r="B82" s="127"/>
      <c r="C82" s="128">
        <f>SUM(C77:C81)</f>
        <v>233843.5</v>
      </c>
      <c r="D82" s="124"/>
      <c r="E82" s="128">
        <f>E80</f>
        <v>214356.54166666666</v>
      </c>
      <c r="F82" s="126"/>
      <c r="G82" s="122"/>
      <c r="H82" s="126"/>
    </row>
    <row r="83" spans="1:10" x14ac:dyDescent="0.2">
      <c r="A83" s="125" t="s">
        <v>199</v>
      </c>
      <c r="B83" s="123"/>
      <c r="C83" s="123"/>
      <c r="D83" s="124"/>
      <c r="E83" s="123">
        <f>(+E82+E85)*0.12</f>
        <v>26220.092176666665</v>
      </c>
      <c r="F83" s="126"/>
      <c r="G83" s="122"/>
      <c r="H83" s="126"/>
    </row>
    <row r="84" spans="1:10" ht="14.25" x14ac:dyDescent="0.3">
      <c r="A84" s="125" t="s">
        <v>267</v>
      </c>
      <c r="B84" s="123"/>
      <c r="C84" s="123" t="s">
        <v>12</v>
      </c>
      <c r="D84" s="124"/>
      <c r="E84" s="123">
        <f xml:space="preserve"> (+E82+E83)*0.1864</f>
        <v>44843.484548397333</v>
      </c>
      <c r="F84" s="126"/>
      <c r="G84" s="129"/>
      <c r="H84" s="126"/>
    </row>
    <row r="85" spans="1:10" ht="14.25" x14ac:dyDescent="0.3">
      <c r="A85" s="125" t="s">
        <v>266</v>
      </c>
      <c r="B85" s="123"/>
      <c r="C85" s="123" t="s">
        <v>12</v>
      </c>
      <c r="D85" s="124"/>
      <c r="E85" s="123">
        <f>+(E82*0.029)/12*8</f>
        <v>4144.2264722222217</v>
      </c>
      <c r="F85" s="126"/>
      <c r="G85" s="129"/>
      <c r="H85" s="126"/>
    </row>
    <row r="86" spans="1:10" ht="14.25" x14ac:dyDescent="0.3">
      <c r="A86" s="125" t="s">
        <v>19</v>
      </c>
      <c r="B86" s="123"/>
      <c r="C86" s="123"/>
      <c r="D86" s="124"/>
      <c r="E86" s="123">
        <v>1091</v>
      </c>
      <c r="F86" s="126"/>
      <c r="G86" s="129"/>
      <c r="H86" s="126"/>
    </row>
    <row r="87" spans="1:10" ht="14.25" x14ac:dyDescent="0.3">
      <c r="A87" s="125" t="s">
        <v>20</v>
      </c>
      <c r="B87" s="123"/>
      <c r="C87" s="123"/>
      <c r="D87" s="124"/>
      <c r="E87" s="130">
        <f>SUM(E82:E86)*0.064</f>
        <v>18601.942071292986</v>
      </c>
      <c r="F87" s="126"/>
      <c r="G87" s="129"/>
      <c r="H87" s="126"/>
    </row>
    <row r="88" spans="1:10" x14ac:dyDescent="0.2">
      <c r="A88" s="122" t="s">
        <v>21</v>
      </c>
      <c r="B88" s="127"/>
      <c r="C88" s="123"/>
      <c r="D88" s="124"/>
      <c r="E88" s="128">
        <f>SUM(E82:E87)</f>
        <v>309257.28693524585</v>
      </c>
      <c r="F88" s="126"/>
      <c r="G88" s="126"/>
      <c r="H88" s="126"/>
      <c r="J88" s="2"/>
    </row>
    <row r="90" spans="1:10" x14ac:dyDescent="0.2">
      <c r="A90" s="142" t="s">
        <v>252</v>
      </c>
      <c r="B90" s="123">
        <f>+(G90/10*D90)</f>
        <v>3973</v>
      </c>
      <c r="C90" s="123">
        <f>+B90*10</f>
        <v>39730</v>
      </c>
      <c r="D90" s="124">
        <v>0.1</v>
      </c>
      <c r="E90" s="123">
        <f>+B90*9</f>
        <v>35757</v>
      </c>
      <c r="F90" s="125"/>
      <c r="G90" s="122">
        <v>397300</v>
      </c>
      <c r="H90" s="179"/>
    </row>
    <row r="91" spans="1:10" x14ac:dyDescent="0.2">
      <c r="A91" s="126"/>
      <c r="B91" s="126"/>
      <c r="C91" s="126"/>
      <c r="D91" s="126"/>
      <c r="E91" s="126"/>
      <c r="F91" s="126"/>
      <c r="G91" s="122"/>
      <c r="H91" s="126"/>
      <c r="J91" s="2"/>
    </row>
    <row r="92" spans="1:10" x14ac:dyDescent="0.2">
      <c r="A92" s="122" t="s">
        <v>18</v>
      </c>
      <c r="B92" s="127"/>
      <c r="C92" s="128">
        <f>SUM(C87:C91)</f>
        <v>39730</v>
      </c>
      <c r="D92" s="124"/>
      <c r="E92" s="128">
        <f>E90</f>
        <v>35757</v>
      </c>
      <c r="F92" s="126"/>
      <c r="G92" s="122"/>
      <c r="H92" s="126"/>
    </row>
    <row r="93" spans="1:10" x14ac:dyDescent="0.2">
      <c r="A93" s="125" t="s">
        <v>199</v>
      </c>
      <c r="B93" s="123"/>
      <c r="C93" s="123"/>
      <c r="D93" s="124"/>
      <c r="E93" s="123">
        <f>(+E92+E95)*0.12</f>
        <v>4373.7962400000006</v>
      </c>
      <c r="F93" s="126"/>
      <c r="G93" s="122"/>
      <c r="H93" s="126"/>
    </row>
    <row r="94" spans="1:10" ht="14.25" x14ac:dyDescent="0.3">
      <c r="A94" s="125" t="s">
        <v>267</v>
      </c>
      <c r="B94" s="123"/>
      <c r="C94" s="123" t="s">
        <v>12</v>
      </c>
      <c r="D94" s="124"/>
      <c r="E94" s="123">
        <f xml:space="preserve"> (+E92+E93)*0.1864</f>
        <v>7480.3804191360014</v>
      </c>
      <c r="F94" s="126"/>
      <c r="G94" s="129"/>
      <c r="H94" s="126"/>
    </row>
    <row r="95" spans="1:10" ht="14.25" x14ac:dyDescent="0.3">
      <c r="A95" s="125" t="s">
        <v>266</v>
      </c>
      <c r="B95" s="123"/>
      <c r="C95" s="123" t="s">
        <v>12</v>
      </c>
      <c r="D95" s="124"/>
      <c r="E95" s="123">
        <f>+(E92*0.029)/12*8</f>
        <v>691.30200000000002</v>
      </c>
      <c r="F95" s="126"/>
      <c r="G95" s="129"/>
      <c r="H95" s="126"/>
    </row>
    <row r="96" spans="1:10" ht="14.25" x14ac:dyDescent="0.3">
      <c r="A96" s="125" t="s">
        <v>19</v>
      </c>
      <c r="B96" s="123"/>
      <c r="C96" s="123"/>
      <c r="D96" s="124"/>
      <c r="E96" s="123"/>
      <c r="F96" s="126"/>
      <c r="G96" s="129"/>
      <c r="H96" s="126"/>
    </row>
    <row r="97" spans="1:8" ht="14.25" x14ac:dyDescent="0.3">
      <c r="A97" s="125" t="s">
        <v>20</v>
      </c>
      <c r="B97" s="123"/>
      <c r="C97" s="123"/>
      <c r="D97" s="124"/>
      <c r="E97" s="130">
        <f>SUM(E92:E96)*0.064</f>
        <v>3091.3586341847049</v>
      </c>
      <c r="F97" s="126"/>
      <c r="G97" s="129"/>
      <c r="H97" s="126"/>
    </row>
    <row r="98" spans="1:8" x14ac:dyDescent="0.2">
      <c r="A98" s="122" t="s">
        <v>21</v>
      </c>
      <c r="B98" s="127"/>
      <c r="C98" s="123"/>
      <c r="D98" s="124"/>
      <c r="E98" s="128">
        <f>SUM(E92:E97)</f>
        <v>51393.837293320714</v>
      </c>
      <c r="F98" s="126"/>
      <c r="G98" s="126"/>
      <c r="H98" s="126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8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B7" sqref="B7"/>
    </sheetView>
  </sheetViews>
  <sheetFormatPr baseColWidth="10" defaultRowHeight="12.75" x14ac:dyDescent="0.2"/>
  <cols>
    <col min="1" max="1" width="53.140625" customWidth="1"/>
    <col min="3" max="3" width="18.42578125" customWidth="1"/>
  </cols>
  <sheetData>
    <row r="1" spans="1:6" ht="15.75" x14ac:dyDescent="0.25">
      <c r="A1" s="4" t="s">
        <v>108</v>
      </c>
      <c r="F1" s="174"/>
    </row>
    <row r="2" spans="1:6" ht="15.75" x14ac:dyDescent="0.25">
      <c r="A2" s="173">
        <v>2017</v>
      </c>
    </row>
    <row r="4" spans="1:6" x14ac:dyDescent="0.2">
      <c r="B4" t="s">
        <v>109</v>
      </c>
    </row>
    <row r="5" spans="1:6" x14ac:dyDescent="0.2">
      <c r="A5" s="22" t="s">
        <v>270</v>
      </c>
      <c r="B5" s="88">
        <v>500000</v>
      </c>
      <c r="C5" s="22"/>
      <c r="D5" s="22"/>
    </row>
    <row r="6" spans="1:6" x14ac:dyDescent="0.2">
      <c r="A6" t="s">
        <v>278</v>
      </c>
      <c r="B6" s="88">
        <v>300000</v>
      </c>
      <c r="D6" s="22"/>
    </row>
    <row r="7" spans="1:6" x14ac:dyDescent="0.2">
      <c r="A7" s="182"/>
      <c r="B7" s="183"/>
      <c r="C7" s="182"/>
      <c r="D7" s="182"/>
      <c r="E7" s="182"/>
    </row>
    <row r="8" spans="1:6" x14ac:dyDescent="0.2">
      <c r="B8" s="88"/>
    </row>
    <row r="9" spans="1:6" x14ac:dyDescent="0.2">
      <c r="B9" s="88"/>
    </row>
    <row r="10" spans="1:6" x14ac:dyDescent="0.2">
      <c r="A10" s="3" t="s">
        <v>231</v>
      </c>
      <c r="B10" s="89">
        <f>SUM(B5:B6)</f>
        <v>800000</v>
      </c>
      <c r="C10" s="22"/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workbookViewId="0">
      <selection activeCell="B6" sqref="B6"/>
    </sheetView>
  </sheetViews>
  <sheetFormatPr baseColWidth="10" defaultRowHeight="12.75" x14ac:dyDescent="0.2"/>
  <cols>
    <col min="1" max="1" width="50.28515625" customWidth="1"/>
    <col min="2" max="2" width="20.7109375" customWidth="1"/>
  </cols>
  <sheetData>
    <row r="1" spans="1:2" ht="18" x14ac:dyDescent="0.25">
      <c r="A1" s="6" t="s">
        <v>42</v>
      </c>
      <c r="B1" s="7"/>
    </row>
    <row r="2" spans="1:2" ht="18" x14ac:dyDescent="0.25">
      <c r="A2" s="6" t="s">
        <v>263</v>
      </c>
      <c r="B2" s="7"/>
    </row>
    <row r="3" spans="1:2" ht="18" x14ac:dyDescent="0.25">
      <c r="A3" s="6"/>
      <c r="B3" s="7"/>
    </row>
    <row r="4" spans="1:2" ht="18.75" x14ac:dyDescent="0.3">
      <c r="A4" s="9"/>
      <c r="B4" s="7"/>
    </row>
    <row r="5" spans="1:2" x14ac:dyDescent="0.2">
      <c r="A5" s="22"/>
      <c r="B5" s="70" t="s">
        <v>3</v>
      </c>
    </row>
    <row r="6" spans="1:2" x14ac:dyDescent="0.2">
      <c r="A6" s="22"/>
      <c r="B6" s="72">
        <v>2017</v>
      </c>
    </row>
    <row r="7" spans="1:2" x14ac:dyDescent="0.2">
      <c r="A7" s="22"/>
      <c r="B7" s="22"/>
    </row>
    <row r="8" spans="1:2" x14ac:dyDescent="0.2">
      <c r="A8" s="57" t="s">
        <v>81</v>
      </c>
      <c r="B8" s="58">
        <f>'Bud. 2017 Kyrkja mi- interne ko'!C8</f>
        <v>1150000</v>
      </c>
    </row>
    <row r="9" spans="1:2" x14ac:dyDescent="0.2">
      <c r="A9" s="59"/>
      <c r="B9" s="58"/>
    </row>
    <row r="10" spans="1:2" x14ac:dyDescent="0.2">
      <c r="A10" s="60" t="s">
        <v>5</v>
      </c>
      <c r="B10" s="61">
        <f>SUM(B8:B8)</f>
        <v>1150000</v>
      </c>
    </row>
    <row r="11" spans="1:2" x14ac:dyDescent="0.2">
      <c r="A11" s="62"/>
      <c r="B11" s="63"/>
    </row>
    <row r="12" spans="1:2" x14ac:dyDescent="0.2">
      <c r="A12" s="57" t="s">
        <v>106</v>
      </c>
      <c r="B12" s="2">
        <f>'Bud. 2017 Kyrkja mi- interne ko'!C12</f>
        <v>765123.90833333333</v>
      </c>
    </row>
    <row r="13" spans="1:2" x14ac:dyDescent="0.2">
      <c r="A13" s="57" t="s">
        <v>0</v>
      </c>
      <c r="B13" s="58">
        <f>'Bud. 2017 Kyrkja mi- interne ko'!C13</f>
        <v>120888.47649999999</v>
      </c>
    </row>
    <row r="14" spans="1:2" x14ac:dyDescent="0.2">
      <c r="A14" s="57" t="s">
        <v>1</v>
      </c>
      <c r="B14" s="58">
        <f>'Bud. 2017 Kyrkja mi- interne ko'!C14</f>
        <v>42093.919999999998</v>
      </c>
    </row>
    <row r="15" spans="1:2" x14ac:dyDescent="0.2">
      <c r="A15" s="57" t="s">
        <v>103</v>
      </c>
      <c r="B15" s="58">
        <f>'Bud. 2017 Kyrkja mi- interne ko'!C15</f>
        <v>3000</v>
      </c>
    </row>
    <row r="16" spans="1:2" ht="15" x14ac:dyDescent="0.25">
      <c r="A16" s="42"/>
      <c r="B16" s="58"/>
    </row>
    <row r="17" spans="1:2" x14ac:dyDescent="0.2">
      <c r="A17" s="60" t="s">
        <v>6</v>
      </c>
      <c r="B17" s="64">
        <f>SUM(B12:B15)</f>
        <v>931106.30483333336</v>
      </c>
    </row>
    <row r="18" spans="1:2" x14ac:dyDescent="0.2">
      <c r="A18" s="74" t="s">
        <v>82</v>
      </c>
      <c r="B18" s="160"/>
    </row>
    <row r="19" spans="1:2" x14ac:dyDescent="0.2">
      <c r="A19" s="74"/>
      <c r="B19" s="161">
        <f>'Bud. 2017 Kyrkja mi- interne ko'!C18</f>
        <v>9900</v>
      </c>
    </row>
    <row r="20" spans="1:2" x14ac:dyDescent="0.2">
      <c r="A20" s="74" t="s">
        <v>236</v>
      </c>
      <c r="B20" s="158"/>
    </row>
    <row r="21" spans="1:2" x14ac:dyDescent="0.2">
      <c r="A21" s="74"/>
      <c r="B21" s="159">
        <f>'Bud. 2017 Kyrkja mi- interne ko'!C20</f>
        <v>89444</v>
      </c>
    </row>
    <row r="22" spans="1:2" x14ac:dyDescent="0.2">
      <c r="A22" s="74" t="s">
        <v>218</v>
      </c>
      <c r="B22" s="152"/>
    </row>
    <row r="23" spans="1:2" x14ac:dyDescent="0.2">
      <c r="A23" s="74"/>
      <c r="B23" s="152">
        <f>'Bud. 2017 Kyrkja mi- interne ko'!C22</f>
        <v>550</v>
      </c>
    </row>
    <row r="24" spans="1:2" x14ac:dyDescent="0.2">
      <c r="A24" s="74" t="s">
        <v>83</v>
      </c>
      <c r="B24" s="205">
        <f>'Bud. 2017 Kyrkja mi- interne ko'!C24</f>
        <v>6000</v>
      </c>
    </row>
    <row r="25" spans="1:2" x14ac:dyDescent="0.2">
      <c r="A25" s="74"/>
      <c r="B25" s="206"/>
    </row>
    <row r="26" spans="1:2" x14ac:dyDescent="0.2">
      <c r="A26" s="74" t="s">
        <v>84</v>
      </c>
      <c r="B26" s="207">
        <f>'Bud. 2017 Kyrkja mi- interne ko'!C26</f>
        <v>45000</v>
      </c>
    </row>
    <row r="27" spans="1:2" x14ac:dyDescent="0.2">
      <c r="A27" s="74"/>
      <c r="B27" s="208"/>
    </row>
    <row r="28" spans="1:2" x14ac:dyDescent="0.2">
      <c r="A28" s="74" t="s">
        <v>85</v>
      </c>
      <c r="B28" s="158"/>
    </row>
    <row r="29" spans="1:2" x14ac:dyDescent="0.2">
      <c r="A29" s="74"/>
      <c r="B29" s="159">
        <f>'Bud. 2017 Kyrkja mi- interne ko'!C28</f>
        <v>28000</v>
      </c>
    </row>
    <row r="30" spans="1:2" x14ac:dyDescent="0.2">
      <c r="A30" s="74" t="s">
        <v>86</v>
      </c>
      <c r="B30" s="158"/>
    </row>
    <row r="31" spans="1:2" x14ac:dyDescent="0.2">
      <c r="A31" s="74"/>
      <c r="B31" s="159">
        <f>'Bud. 2017 Kyrkja mi- interne ko'!C30</f>
        <v>3000</v>
      </c>
    </row>
    <row r="32" spans="1:2" x14ac:dyDescent="0.2">
      <c r="A32" s="74" t="s">
        <v>87</v>
      </c>
      <c r="B32" s="158"/>
    </row>
    <row r="33" spans="1:2" x14ac:dyDescent="0.2">
      <c r="A33" s="74"/>
      <c r="B33" s="159">
        <v>0</v>
      </c>
    </row>
    <row r="34" spans="1:2" x14ac:dyDescent="0.2">
      <c r="A34" s="74" t="s">
        <v>221</v>
      </c>
      <c r="B34" s="75"/>
    </row>
    <row r="35" spans="1:2" x14ac:dyDescent="0.2">
      <c r="A35" s="74"/>
      <c r="B35" s="76">
        <f>'Bud. 2017 Kyrkja mi- interne ko'!C34</f>
        <v>37000</v>
      </c>
    </row>
    <row r="36" spans="1:2" x14ac:dyDescent="0.2">
      <c r="A36" s="60" t="s">
        <v>22</v>
      </c>
      <c r="B36" s="64">
        <f>SUM(B18:B35)</f>
        <v>218894</v>
      </c>
    </row>
    <row r="37" spans="1:2" x14ac:dyDescent="0.2">
      <c r="A37" s="65"/>
      <c r="B37" s="58"/>
    </row>
    <row r="38" spans="1:2" x14ac:dyDescent="0.2">
      <c r="A38" s="66" t="s">
        <v>11</v>
      </c>
      <c r="B38" s="67">
        <f>B10-B17-B36</f>
        <v>-0.30483333335723728</v>
      </c>
    </row>
    <row r="41" spans="1:2" x14ac:dyDescent="0.2">
      <c r="A41" s="22" t="s">
        <v>107</v>
      </c>
    </row>
  </sheetData>
  <sheetProtection password="E8F6" sheet="1" objects="1" scenarios="1" selectLockedCells="1" selectUnlockedCells="1"/>
  <mergeCells count="2">
    <mergeCell ref="B24:B25"/>
    <mergeCell ref="B26:B2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topLeftCell="C6" zoomScaleNormal="100" workbookViewId="0">
      <selection activeCell="D8" sqref="D8"/>
    </sheetView>
  </sheetViews>
  <sheetFormatPr baseColWidth="10" defaultRowHeight="12.75" x14ac:dyDescent="0.2"/>
  <cols>
    <col min="2" max="2" width="54.140625" customWidth="1"/>
    <col min="3" max="3" width="13.5703125" customWidth="1"/>
    <col min="4" max="4" width="55.28515625" customWidth="1"/>
    <col min="5" max="6" width="11.42578125" customWidth="1"/>
  </cols>
  <sheetData>
    <row r="1" spans="1:4" ht="18" x14ac:dyDescent="0.25">
      <c r="B1" s="6" t="s">
        <v>42</v>
      </c>
      <c r="C1" s="7"/>
    </row>
    <row r="2" spans="1:4" ht="18" x14ac:dyDescent="0.25">
      <c r="B2" s="6" t="s">
        <v>263</v>
      </c>
      <c r="C2" s="7"/>
    </row>
    <row r="3" spans="1:4" ht="18" x14ac:dyDescent="0.25">
      <c r="B3" s="6"/>
      <c r="C3" s="7"/>
    </row>
    <row r="4" spans="1:4" ht="18.75" x14ac:dyDescent="0.3">
      <c r="A4" s="9" t="s">
        <v>89</v>
      </c>
      <c r="B4" s="9" t="s">
        <v>90</v>
      </c>
      <c r="C4" s="7"/>
    </row>
    <row r="5" spans="1:4" x14ac:dyDescent="0.2">
      <c r="A5" s="78"/>
      <c r="B5" s="22"/>
      <c r="C5" s="70" t="s">
        <v>3</v>
      </c>
      <c r="D5" s="71" t="s">
        <v>23</v>
      </c>
    </row>
    <row r="6" spans="1:4" x14ac:dyDescent="0.2">
      <c r="A6" s="78"/>
      <c r="B6" s="22"/>
      <c r="C6" s="72">
        <v>2017</v>
      </c>
      <c r="D6" s="73" t="s">
        <v>24</v>
      </c>
    </row>
    <row r="7" spans="1:4" x14ac:dyDescent="0.2">
      <c r="A7" s="78"/>
      <c r="B7" s="22"/>
      <c r="C7" s="22"/>
    </row>
    <row r="8" spans="1:4" x14ac:dyDescent="0.2">
      <c r="A8" s="78">
        <v>18109</v>
      </c>
      <c r="B8" s="57" t="s">
        <v>81</v>
      </c>
      <c r="C8" s="153">
        <v>1150000</v>
      </c>
    </row>
    <row r="9" spans="1:4" x14ac:dyDescent="0.2">
      <c r="A9" s="78"/>
      <c r="B9" s="59"/>
      <c r="C9" s="58"/>
    </row>
    <row r="10" spans="1:4" x14ac:dyDescent="0.2">
      <c r="A10" s="78"/>
      <c r="B10" s="60" t="s">
        <v>5</v>
      </c>
      <c r="C10" s="61">
        <f>SUM(C8:C8)</f>
        <v>1150000</v>
      </c>
    </row>
    <row r="11" spans="1:4" x14ac:dyDescent="0.2">
      <c r="A11" s="78"/>
      <c r="B11" s="62"/>
      <c r="C11" s="63"/>
    </row>
    <row r="12" spans="1:4" x14ac:dyDescent="0.2">
      <c r="A12" s="79" t="s">
        <v>220</v>
      </c>
      <c r="B12" s="57" t="s">
        <v>106</v>
      </c>
      <c r="C12" s="2">
        <f>'Notater 2017 - Kyrkja mi'!F15+'Notater 2017 - Kyrkja mi'!F17+'Notater 2017 - Kyrkja mi'!F19+'Notater 2017 - Kyrkja mi'!F20</f>
        <v>765123.90833333333</v>
      </c>
      <c r="D12" s="22" t="s">
        <v>102</v>
      </c>
    </row>
    <row r="13" spans="1:4" x14ac:dyDescent="0.2">
      <c r="A13" s="78">
        <v>10900</v>
      </c>
      <c r="B13" s="57" t="s">
        <v>0</v>
      </c>
      <c r="C13" s="58">
        <f>'Notater 2017 - Kyrkja mi'!F18</f>
        <v>120888.47649999999</v>
      </c>
      <c r="D13" s="22" t="s">
        <v>101</v>
      </c>
    </row>
    <row r="14" spans="1:4" x14ac:dyDescent="0.2">
      <c r="A14" s="78"/>
      <c r="B14" s="57" t="s">
        <v>1</v>
      </c>
      <c r="C14" s="58">
        <f>'Notater 2017 - Kyrkja mi'!F21</f>
        <v>42093.919999999998</v>
      </c>
      <c r="D14" s="22" t="s">
        <v>101</v>
      </c>
    </row>
    <row r="15" spans="1:4" x14ac:dyDescent="0.2">
      <c r="A15" s="78">
        <v>11658</v>
      </c>
      <c r="B15" s="57" t="s">
        <v>103</v>
      </c>
      <c r="C15" s="57">
        <f>'Notater 2017 - Kyrkja mi'!B32</f>
        <v>3000</v>
      </c>
      <c r="D15" s="59" t="s">
        <v>104</v>
      </c>
    </row>
    <row r="16" spans="1:4" x14ac:dyDescent="0.2">
      <c r="A16" s="78"/>
      <c r="B16" s="60" t="s">
        <v>6</v>
      </c>
      <c r="C16" s="64">
        <f>SUM(C12:C15)</f>
        <v>931106.30483333336</v>
      </c>
    </row>
    <row r="17" spans="1:4" x14ac:dyDescent="0.2">
      <c r="A17" s="78">
        <v>11500</v>
      </c>
      <c r="B17" s="74" t="s">
        <v>82</v>
      </c>
      <c r="C17" s="162"/>
      <c r="D17" s="22" t="s">
        <v>91</v>
      </c>
    </row>
    <row r="18" spans="1:4" x14ac:dyDescent="0.2">
      <c r="A18" s="78"/>
      <c r="B18" s="74"/>
      <c r="C18" s="163">
        <v>9900</v>
      </c>
      <c r="D18" s="68" t="s">
        <v>92</v>
      </c>
    </row>
    <row r="19" spans="1:4" x14ac:dyDescent="0.2">
      <c r="A19" s="78">
        <v>11000</v>
      </c>
      <c r="B19" s="74" t="s">
        <v>236</v>
      </c>
      <c r="C19" s="162"/>
      <c r="D19" s="86"/>
    </row>
    <row r="20" spans="1:4" x14ac:dyDescent="0.2">
      <c r="A20" s="78"/>
      <c r="B20" s="74"/>
      <c r="C20" s="163">
        <v>89444</v>
      </c>
      <c r="D20" s="87" t="s">
        <v>237</v>
      </c>
    </row>
    <row r="21" spans="1:4" x14ac:dyDescent="0.2">
      <c r="A21" s="78">
        <v>11002</v>
      </c>
      <c r="B21" s="74" t="s">
        <v>218</v>
      </c>
      <c r="C21" s="155"/>
      <c r="D21" s="151"/>
    </row>
    <row r="22" spans="1:4" x14ac:dyDescent="0.2">
      <c r="A22" s="78"/>
      <c r="B22" s="74"/>
      <c r="C22" s="156">
        <v>550</v>
      </c>
      <c r="D22" s="87" t="s">
        <v>217</v>
      </c>
    </row>
    <row r="23" spans="1:4" x14ac:dyDescent="0.2">
      <c r="A23" s="80">
        <v>11400</v>
      </c>
      <c r="B23" s="74" t="s">
        <v>83</v>
      </c>
      <c r="C23" s="164"/>
      <c r="D23" s="22" t="s">
        <v>93</v>
      </c>
    </row>
    <row r="24" spans="1:4" x14ac:dyDescent="0.2">
      <c r="A24" s="81"/>
      <c r="B24" s="74"/>
      <c r="C24" s="165">
        <v>6000</v>
      </c>
      <c r="D24" s="68" t="s">
        <v>94</v>
      </c>
    </row>
    <row r="25" spans="1:4" x14ac:dyDescent="0.2">
      <c r="A25" s="81">
        <v>12001</v>
      </c>
      <c r="B25" s="74" t="s">
        <v>84</v>
      </c>
      <c r="C25" s="162"/>
      <c r="D25" s="22"/>
    </row>
    <row r="26" spans="1:4" x14ac:dyDescent="0.2">
      <c r="A26" s="81"/>
      <c r="B26" s="74"/>
      <c r="C26" s="163">
        <v>45000</v>
      </c>
      <c r="D26" s="69" t="s">
        <v>95</v>
      </c>
    </row>
    <row r="27" spans="1:4" x14ac:dyDescent="0.2">
      <c r="A27" s="82">
        <v>11600</v>
      </c>
      <c r="B27" s="74" t="s">
        <v>85</v>
      </c>
      <c r="C27" s="162"/>
      <c r="D27" s="22" t="s">
        <v>96</v>
      </c>
    </row>
    <row r="28" spans="1:4" x14ac:dyDescent="0.2">
      <c r="A28" s="81"/>
      <c r="B28" s="74"/>
      <c r="C28" s="163">
        <v>28000</v>
      </c>
      <c r="D28" s="68" t="s">
        <v>100</v>
      </c>
    </row>
    <row r="29" spans="1:4" x14ac:dyDescent="0.2">
      <c r="A29" s="81">
        <v>11900</v>
      </c>
      <c r="B29" s="74" t="s">
        <v>86</v>
      </c>
      <c r="C29" s="162"/>
      <c r="D29" s="59"/>
    </row>
    <row r="30" spans="1:4" x14ac:dyDescent="0.2">
      <c r="A30" s="81"/>
      <c r="B30" s="74"/>
      <c r="C30" s="163">
        <v>3000</v>
      </c>
      <c r="D30" s="68" t="s">
        <v>222</v>
      </c>
    </row>
    <row r="31" spans="1:4" x14ac:dyDescent="0.2">
      <c r="A31" s="80">
        <v>12703</v>
      </c>
      <c r="B31" s="74" t="s">
        <v>87</v>
      </c>
      <c r="C31" s="162"/>
      <c r="D31" s="22"/>
    </row>
    <row r="32" spans="1:4" x14ac:dyDescent="0.2">
      <c r="A32" s="81"/>
      <c r="B32" s="74"/>
      <c r="C32" s="163">
        <v>0</v>
      </c>
      <c r="D32" s="68"/>
    </row>
    <row r="33" spans="1:4" x14ac:dyDescent="0.2">
      <c r="A33" s="83" t="s">
        <v>219</v>
      </c>
      <c r="B33" s="74" t="s">
        <v>88</v>
      </c>
      <c r="C33" s="155"/>
      <c r="D33" s="59" t="s">
        <v>97</v>
      </c>
    </row>
    <row r="34" spans="1:4" x14ac:dyDescent="0.2">
      <c r="A34" s="81"/>
      <c r="B34" s="74"/>
      <c r="C34" s="157">
        <v>37000</v>
      </c>
      <c r="D34" s="68" t="s">
        <v>98</v>
      </c>
    </row>
    <row r="35" spans="1:4" x14ac:dyDescent="0.2">
      <c r="A35" s="78"/>
      <c r="B35" s="60" t="s">
        <v>22</v>
      </c>
      <c r="C35" s="64">
        <f>SUM(C17:C34)</f>
        <v>218894</v>
      </c>
    </row>
    <row r="36" spans="1:4" x14ac:dyDescent="0.2">
      <c r="B36" s="65"/>
      <c r="C36" s="58"/>
    </row>
    <row r="37" spans="1:4" x14ac:dyDescent="0.2">
      <c r="B37" s="66" t="s">
        <v>11</v>
      </c>
      <c r="C37" s="67">
        <f>C10-C16-C35</f>
        <v>-0.30483333335723728</v>
      </c>
      <c r="D37" s="77"/>
    </row>
    <row r="40" spans="1:4" x14ac:dyDescent="0.2">
      <c r="B40" s="22" t="s">
        <v>107</v>
      </c>
    </row>
  </sheetData>
  <sheetProtection password="E8F6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D12" sqref="D12"/>
    </sheetView>
  </sheetViews>
  <sheetFormatPr baseColWidth="10" defaultRowHeight="12.75" x14ac:dyDescent="0.2"/>
  <cols>
    <col min="2" max="2" width="24.7109375" customWidth="1"/>
    <col min="5" max="5" width="12" bestFit="1" customWidth="1"/>
    <col min="8" max="8" width="12" bestFit="1" customWidth="1"/>
  </cols>
  <sheetData>
    <row r="1" spans="1:9" x14ac:dyDescent="0.2">
      <c r="A1" s="10" t="s">
        <v>245</v>
      </c>
      <c r="B1" s="10"/>
      <c r="C1" s="10"/>
      <c r="D1" s="10"/>
      <c r="E1" s="10"/>
      <c r="F1" s="10"/>
      <c r="G1" s="10"/>
      <c r="H1" s="10"/>
    </row>
    <row r="2" spans="1:9" x14ac:dyDescent="0.2">
      <c r="A2" s="12" t="s">
        <v>26</v>
      </c>
      <c r="B2" s="10"/>
      <c r="C2" s="10"/>
      <c r="D2" s="10"/>
      <c r="E2" s="10"/>
      <c r="F2" s="10"/>
      <c r="G2" s="10"/>
      <c r="H2" s="10"/>
    </row>
    <row r="3" spans="1:9" x14ac:dyDescent="0.2">
      <c r="A3" s="10"/>
      <c r="B3" s="10" t="s">
        <v>12</v>
      </c>
      <c r="C3" s="13" t="s">
        <v>30</v>
      </c>
      <c r="D3" s="14" t="s">
        <v>13</v>
      </c>
      <c r="E3" s="13" t="s">
        <v>27</v>
      </c>
      <c r="F3" s="13" t="s">
        <v>31</v>
      </c>
      <c r="G3" s="10"/>
      <c r="H3" s="12" t="s">
        <v>250</v>
      </c>
    </row>
    <row r="4" spans="1:9" x14ac:dyDescent="0.2">
      <c r="A4" s="10"/>
      <c r="B4" s="10"/>
      <c r="C4" s="14" t="s">
        <v>29</v>
      </c>
      <c r="D4" s="55" t="s">
        <v>99</v>
      </c>
      <c r="E4" s="14" t="s">
        <v>28</v>
      </c>
      <c r="F4" s="15" t="s">
        <v>14</v>
      </c>
      <c r="G4" s="10"/>
      <c r="H4" s="10"/>
    </row>
    <row r="5" spans="1:9" x14ac:dyDescent="0.2">
      <c r="A5" s="10"/>
      <c r="B5" s="10"/>
      <c r="C5" s="10"/>
      <c r="D5" s="10"/>
      <c r="E5" s="10"/>
      <c r="F5" s="10"/>
      <c r="G5" s="10"/>
      <c r="H5" s="10"/>
    </row>
    <row r="6" spans="1:9" x14ac:dyDescent="0.2">
      <c r="A6" s="10"/>
      <c r="B6" s="10"/>
      <c r="C6" s="10"/>
      <c r="D6" s="10"/>
      <c r="E6" s="10"/>
      <c r="F6" s="10"/>
      <c r="G6" s="10"/>
      <c r="H6" s="10"/>
    </row>
    <row r="7" spans="1:9" x14ac:dyDescent="0.2">
      <c r="A7" s="10"/>
      <c r="B7" s="10" t="s">
        <v>242</v>
      </c>
      <c r="C7" s="11">
        <f t="shared" ref="C7:C10" si="0">D7/12</f>
        <v>8616.6666666666661</v>
      </c>
      <c r="D7" s="11">
        <f>517000*E7</f>
        <v>103400</v>
      </c>
      <c r="E7" s="16">
        <v>0.2</v>
      </c>
      <c r="F7" s="11">
        <f>+C7*11</f>
        <v>94783.333333333328</v>
      </c>
      <c r="G7" s="56">
        <f>F7*1.12</f>
        <v>106157.33333333334</v>
      </c>
      <c r="H7" s="181">
        <v>517000</v>
      </c>
      <c r="I7" s="167"/>
    </row>
    <row r="8" spans="1:9" x14ac:dyDescent="0.2">
      <c r="A8" s="10"/>
      <c r="B8" s="10" t="s">
        <v>243</v>
      </c>
      <c r="C8" s="11">
        <f>D8/12</f>
        <v>18229.166666666668</v>
      </c>
      <c r="D8" s="11">
        <f>437500*E8</f>
        <v>218750</v>
      </c>
      <c r="E8" s="16">
        <v>0.5</v>
      </c>
      <c r="F8" s="11">
        <f>C8*11</f>
        <v>200520.83333333334</v>
      </c>
      <c r="G8" s="56">
        <f t="shared" ref="G8:G12" si="1">F8*1.12</f>
        <v>224583.33333333337</v>
      </c>
      <c r="H8" s="181">
        <v>437200</v>
      </c>
      <c r="I8" s="167"/>
    </row>
    <row r="9" spans="1:9" x14ac:dyDescent="0.2">
      <c r="A9" s="10"/>
      <c r="B9" s="10" t="s">
        <v>244</v>
      </c>
      <c r="C9" s="11">
        <f t="shared" si="0"/>
        <v>7286.666666666667</v>
      </c>
      <c r="D9" s="11">
        <f>437200*E9</f>
        <v>87440</v>
      </c>
      <c r="E9" s="16">
        <v>0.2</v>
      </c>
      <c r="F9" s="11">
        <f>+C9*11</f>
        <v>80153.333333333343</v>
      </c>
      <c r="G9" s="56">
        <f t="shared" si="1"/>
        <v>89771.733333333352</v>
      </c>
      <c r="H9" s="181">
        <v>437200</v>
      </c>
      <c r="I9" s="167"/>
    </row>
    <row r="10" spans="1:9" x14ac:dyDescent="0.2">
      <c r="A10" s="10"/>
      <c r="B10" s="10" t="s">
        <v>279</v>
      </c>
      <c r="C10" s="11">
        <f t="shared" si="0"/>
        <v>7286.666666666667</v>
      </c>
      <c r="D10" s="11">
        <f>437200*E10</f>
        <v>87440</v>
      </c>
      <c r="E10" s="16">
        <v>0.2</v>
      </c>
      <c r="F10" s="11">
        <f>+C10*11</f>
        <v>80153.333333333343</v>
      </c>
      <c r="G10" s="56">
        <f t="shared" si="1"/>
        <v>89771.733333333352</v>
      </c>
      <c r="H10" s="181">
        <v>437200</v>
      </c>
      <c r="I10" s="167"/>
    </row>
    <row r="11" spans="1:9" x14ac:dyDescent="0.2">
      <c r="A11" s="10"/>
      <c r="B11" s="10" t="s">
        <v>235</v>
      </c>
      <c r="C11" s="11">
        <f>D11/12</f>
        <v>14573.333333333334</v>
      </c>
      <c r="D11" s="11">
        <f>437200*E11</f>
        <v>174880</v>
      </c>
      <c r="E11" s="16">
        <v>0.4</v>
      </c>
      <c r="F11" s="11">
        <f>+C11*11</f>
        <v>160306.66666666669</v>
      </c>
      <c r="G11" s="56">
        <f t="shared" si="1"/>
        <v>179543.4666666667</v>
      </c>
      <c r="H11" s="181">
        <v>437200</v>
      </c>
      <c r="I11" s="167"/>
    </row>
    <row r="12" spans="1:9" x14ac:dyDescent="0.2">
      <c r="A12" s="10"/>
      <c r="B12" s="10"/>
      <c r="C12" s="11"/>
      <c r="D12" s="11"/>
      <c r="E12" s="16"/>
      <c r="F12" s="11"/>
      <c r="G12" s="56">
        <f t="shared" si="1"/>
        <v>0</v>
      </c>
      <c r="H12" s="56"/>
      <c r="I12" s="167"/>
    </row>
    <row r="13" spans="1:9" x14ac:dyDescent="0.2">
      <c r="A13" s="10"/>
      <c r="B13" s="17" t="s">
        <v>80</v>
      </c>
      <c r="C13" s="11">
        <v>3800</v>
      </c>
      <c r="D13" s="11">
        <f>+C13*12</f>
        <v>45600</v>
      </c>
      <c r="E13" s="16"/>
      <c r="F13" s="11">
        <f>+C13*11</f>
        <v>41800</v>
      </c>
      <c r="G13" s="17"/>
      <c r="H13" s="56"/>
      <c r="I13" s="167"/>
    </row>
    <row r="14" spans="1:9" x14ac:dyDescent="0.2">
      <c r="A14" s="10"/>
      <c r="B14" s="10"/>
      <c r="C14" s="11"/>
      <c r="D14" s="11"/>
      <c r="E14" s="16"/>
      <c r="F14" s="16"/>
      <c r="G14" s="10"/>
      <c r="H14" s="56"/>
      <c r="I14" s="167"/>
    </row>
    <row r="15" spans="1:9" x14ac:dyDescent="0.2">
      <c r="A15" s="10"/>
      <c r="B15" s="12" t="s">
        <v>18</v>
      </c>
      <c r="C15" s="18"/>
      <c r="D15" s="19">
        <f>SUM(D7:D14)</f>
        <v>717510</v>
      </c>
      <c r="E15" s="16"/>
      <c r="F15" s="19">
        <f>SUM(F7:F14)</f>
        <v>657717.5</v>
      </c>
      <c r="G15" s="56">
        <f>SUM(G7:G14)</f>
        <v>689827.60000000009</v>
      </c>
      <c r="H15" s="11">
        <f>D15-D13</f>
        <v>671910</v>
      </c>
    </row>
    <row r="16" spans="1:9" x14ac:dyDescent="0.2">
      <c r="A16" s="10"/>
      <c r="B16" s="10"/>
      <c r="C16" s="11"/>
      <c r="D16" s="11"/>
      <c r="E16" s="16"/>
      <c r="F16" s="16"/>
      <c r="G16" s="10"/>
      <c r="H16" s="56"/>
      <c r="I16" s="167"/>
    </row>
    <row r="17" spans="1:9" x14ac:dyDescent="0.2">
      <c r="A17" s="10"/>
      <c r="B17" s="10" t="s">
        <v>199</v>
      </c>
      <c r="C17" s="11"/>
      <c r="D17" s="11"/>
      <c r="E17" s="16"/>
      <c r="F17" s="11">
        <f>+F15*0.12</f>
        <v>78926.099999999991</v>
      </c>
      <c r="G17" s="10"/>
      <c r="H17" s="56"/>
    </row>
    <row r="18" spans="1:9" x14ac:dyDescent="0.2">
      <c r="A18" s="10"/>
      <c r="B18" s="10" t="s">
        <v>238</v>
      </c>
      <c r="C18" s="11"/>
      <c r="D18" s="11" t="s">
        <v>12</v>
      </c>
      <c r="E18" s="16"/>
      <c r="F18" s="11">
        <f>F15*0.1838</f>
        <v>120888.47649999999</v>
      </c>
      <c r="G18" s="20"/>
      <c r="H18" s="10"/>
    </row>
    <row r="19" spans="1:9" x14ac:dyDescent="0.2">
      <c r="A19" s="10"/>
      <c r="B19" s="10" t="s">
        <v>247</v>
      </c>
      <c r="C19" s="11"/>
      <c r="D19" s="11" t="s">
        <v>12</v>
      </c>
      <c r="E19" s="16"/>
      <c r="F19" s="11">
        <f>+(F15*0.055)/12*8</f>
        <v>24116.308333333334</v>
      </c>
      <c r="G19" s="10"/>
      <c r="H19" s="10"/>
    </row>
    <row r="20" spans="1:9" x14ac:dyDescent="0.2">
      <c r="A20" s="10"/>
      <c r="B20" s="10" t="s">
        <v>19</v>
      </c>
      <c r="C20" s="11"/>
      <c r="D20" s="11"/>
      <c r="E20" s="16"/>
      <c r="F20" s="11">
        <f>1091*4</f>
        <v>4364</v>
      </c>
      <c r="G20" s="10"/>
      <c r="H20" s="16"/>
    </row>
    <row r="21" spans="1:9" x14ac:dyDescent="0.2">
      <c r="A21" s="10"/>
      <c r="B21" s="10" t="s">
        <v>20</v>
      </c>
      <c r="C21" s="11"/>
      <c r="D21" s="11"/>
      <c r="E21" s="16"/>
      <c r="F21" s="21">
        <f>F15*6.4%</f>
        <v>42093.919999999998</v>
      </c>
      <c r="G21" s="10"/>
      <c r="H21" s="16"/>
    </row>
    <row r="22" spans="1:9" x14ac:dyDescent="0.2">
      <c r="A22" s="10"/>
      <c r="B22" s="10"/>
      <c r="C22" s="11"/>
      <c r="D22" s="11"/>
      <c r="E22" s="16"/>
      <c r="F22" s="11"/>
      <c r="G22" s="10"/>
      <c r="H22" s="10"/>
    </row>
    <row r="23" spans="1:9" x14ac:dyDescent="0.2">
      <c r="A23" s="10"/>
      <c r="B23" s="12" t="s">
        <v>21</v>
      </c>
      <c r="C23" s="18"/>
      <c r="D23" s="11"/>
      <c r="E23" s="16"/>
      <c r="F23" s="19">
        <f>SUM(F15:F21)</f>
        <v>928106.30483333336</v>
      </c>
      <c r="G23" s="11">
        <f>F15+F17</f>
        <v>736643.6</v>
      </c>
      <c r="H23" s="10"/>
      <c r="I23" s="2"/>
    </row>
    <row r="24" spans="1:9" x14ac:dyDescent="0.2">
      <c r="I24" s="2"/>
    </row>
    <row r="26" spans="1:9" x14ac:dyDescent="0.2">
      <c r="A26" s="12" t="s">
        <v>105</v>
      </c>
      <c r="B26" s="10"/>
    </row>
    <row r="27" spans="1:9" x14ac:dyDescent="0.2">
      <c r="A27" s="10"/>
      <c r="B27" s="10"/>
      <c r="G27" s="2"/>
    </row>
    <row r="28" spans="1:9" x14ac:dyDescent="0.2">
      <c r="A28" s="10" t="s">
        <v>79</v>
      </c>
      <c r="B28" s="10">
        <v>3000</v>
      </c>
    </row>
    <row r="29" spans="1:9" x14ac:dyDescent="0.2">
      <c r="A29" s="10"/>
      <c r="B29" s="10"/>
    </row>
    <row r="30" spans="1:9" x14ac:dyDescent="0.2">
      <c r="A30" s="10"/>
      <c r="B30" s="10"/>
      <c r="F30" s="2"/>
    </row>
    <row r="31" spans="1:9" x14ac:dyDescent="0.2">
      <c r="A31" s="10"/>
      <c r="B31" s="10"/>
    </row>
    <row r="32" spans="1:9" x14ac:dyDescent="0.2">
      <c r="A32" s="12" t="s">
        <v>49</v>
      </c>
      <c r="B32" s="84">
        <f>SUM(B28:B30)</f>
        <v>3000</v>
      </c>
      <c r="F32" s="2">
        <f>F23+B32</f>
        <v>931106.30483333336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H12" sqref="H12"/>
    </sheetView>
  </sheetViews>
  <sheetFormatPr baseColWidth="10" defaultRowHeight="12.75" x14ac:dyDescent="0.2"/>
  <cols>
    <col min="1" max="1" width="20.7109375" customWidth="1"/>
    <col min="2" max="2" width="38.140625" customWidth="1"/>
    <col min="3" max="3" width="2.42578125" customWidth="1"/>
    <col min="4" max="4" width="13.85546875" bestFit="1" customWidth="1"/>
  </cols>
  <sheetData>
    <row r="1" spans="1:4" ht="21" x14ac:dyDescent="0.35">
      <c r="A1" s="23" t="s">
        <v>262</v>
      </c>
      <c r="B1" s="24"/>
      <c r="C1" s="24"/>
      <c r="D1" s="24"/>
    </row>
    <row r="2" spans="1:4" x14ac:dyDescent="0.2">
      <c r="A2" s="22" t="s">
        <v>202</v>
      </c>
      <c r="B2" s="24"/>
      <c r="C2" s="24"/>
      <c r="D2" s="24"/>
    </row>
    <row r="3" spans="1:4" x14ac:dyDescent="0.2">
      <c r="A3" s="24"/>
      <c r="B3" s="24"/>
      <c r="C3" s="24"/>
      <c r="D3" s="24"/>
    </row>
    <row r="4" spans="1:4" x14ac:dyDescent="0.2">
      <c r="A4" s="24"/>
      <c r="B4" s="1" t="s">
        <v>201</v>
      </c>
      <c r="C4" s="24"/>
      <c r="D4" s="145">
        <v>1256</v>
      </c>
    </row>
    <row r="5" spans="1:4" ht="15" x14ac:dyDescent="0.25">
      <c r="A5" s="25"/>
      <c r="B5" s="26"/>
      <c r="C5" s="27"/>
      <c r="D5" s="26" t="s">
        <v>119</v>
      </c>
    </row>
    <row r="6" spans="1:4" ht="15" x14ac:dyDescent="0.25">
      <c r="A6" s="29"/>
      <c r="B6" s="30"/>
      <c r="C6" s="31"/>
      <c r="D6" s="32"/>
    </row>
    <row r="7" spans="1:4" ht="15" x14ac:dyDescent="0.25">
      <c r="A7" s="35" t="s">
        <v>52</v>
      </c>
      <c r="B7" s="36" t="s">
        <v>53</v>
      </c>
      <c r="C7" s="37"/>
      <c r="D7" s="38"/>
    </row>
    <row r="8" spans="1:4" ht="15" x14ac:dyDescent="0.25">
      <c r="A8" s="29" t="s">
        <v>195</v>
      </c>
      <c r="B8" s="41" t="s">
        <v>196</v>
      </c>
      <c r="C8" s="37"/>
      <c r="D8" s="38">
        <f>'Budsjett 2017 Kyrkja mi'!B8</f>
        <v>1150000</v>
      </c>
    </row>
    <row r="9" spans="1:4" ht="15" x14ac:dyDescent="0.25">
      <c r="A9" s="29"/>
      <c r="B9" s="46" t="s">
        <v>55</v>
      </c>
      <c r="C9" s="47"/>
      <c r="D9" s="48">
        <f>SUM(D8:D8)</f>
        <v>1150000</v>
      </c>
    </row>
    <row r="10" spans="1:4" ht="15" x14ac:dyDescent="0.25">
      <c r="A10" s="29"/>
      <c r="B10" s="41"/>
      <c r="C10" s="35"/>
      <c r="D10" s="39"/>
    </row>
    <row r="11" spans="1:4" ht="15" x14ac:dyDescent="0.25">
      <c r="A11" s="35" t="s">
        <v>52</v>
      </c>
      <c r="B11" s="36" t="s">
        <v>56</v>
      </c>
      <c r="C11" s="37"/>
      <c r="D11" s="39"/>
    </row>
    <row r="12" spans="1:4" ht="15" x14ac:dyDescent="0.25">
      <c r="A12" s="29" t="s">
        <v>116</v>
      </c>
      <c r="B12" s="41" t="s">
        <v>209</v>
      </c>
      <c r="C12" s="35"/>
      <c r="D12" s="43">
        <f>'Notater 2017 - Kyrkja mi'!F15+'Notater 2017 - Kyrkja mi'!F17+'Notater 2017 - Kyrkja mi'!F19</f>
        <v>760759.90833333333</v>
      </c>
    </row>
    <row r="13" spans="1:4" ht="15" x14ac:dyDescent="0.25">
      <c r="A13" s="29" t="s">
        <v>123</v>
      </c>
      <c r="B13" s="41" t="s">
        <v>124</v>
      </c>
      <c r="C13" s="35"/>
      <c r="D13" s="43">
        <f>'Bud. 2017 Kyrkja mi- interne ko'!C13</f>
        <v>120888.47649999999</v>
      </c>
    </row>
    <row r="14" spans="1:4" ht="15" x14ac:dyDescent="0.25">
      <c r="A14" s="29" t="s">
        <v>125</v>
      </c>
      <c r="B14" s="41" t="s">
        <v>126</v>
      </c>
      <c r="C14" s="35"/>
      <c r="D14" s="43">
        <f>'Notater 2017 - Kyrkja mi'!F20</f>
        <v>4364</v>
      </c>
    </row>
    <row r="15" spans="1:4" ht="15" x14ac:dyDescent="0.25">
      <c r="A15" s="29" t="s">
        <v>127</v>
      </c>
      <c r="B15" s="41" t="s">
        <v>1</v>
      </c>
      <c r="C15" s="35"/>
      <c r="D15" s="43">
        <f>'Bud. 2017 Kyrkja mi- interne ko'!C14</f>
        <v>42093.919999999998</v>
      </c>
    </row>
    <row r="16" spans="1:4" ht="15" x14ac:dyDescent="0.25">
      <c r="A16" s="90" t="s">
        <v>240</v>
      </c>
      <c r="B16" s="91" t="s">
        <v>241</v>
      </c>
      <c r="C16" s="37"/>
      <c r="D16" s="146">
        <f>'Bud. 2017 Kyrkja mi- interne ko'!C20</f>
        <v>89444</v>
      </c>
    </row>
    <row r="17" spans="1:4" ht="15" x14ac:dyDescent="0.25">
      <c r="A17" s="90" t="s">
        <v>129</v>
      </c>
      <c r="B17" s="91" t="s">
        <v>135</v>
      </c>
      <c r="C17" s="37"/>
      <c r="D17" s="176">
        <f>'Budsjett 2017 Kyrkja mi'!B23</f>
        <v>550</v>
      </c>
    </row>
    <row r="18" spans="1:4" ht="15" x14ac:dyDescent="0.25">
      <c r="A18" s="29" t="s">
        <v>110</v>
      </c>
      <c r="B18" s="41" t="s">
        <v>10</v>
      </c>
      <c r="C18" s="35"/>
      <c r="D18" s="43">
        <f>'Bud. 2017 Kyrkja mi- interne ko'!C34</f>
        <v>37000</v>
      </c>
    </row>
    <row r="19" spans="1:4" ht="15" x14ac:dyDescent="0.25">
      <c r="A19" s="29" t="s">
        <v>114</v>
      </c>
      <c r="B19" s="41" t="s">
        <v>139</v>
      </c>
      <c r="C19" s="35"/>
      <c r="D19" s="177">
        <f>'Bud. 2017 Kyrkja mi- interne ko'!C26</f>
        <v>45000</v>
      </c>
    </row>
    <row r="20" spans="1:4" ht="15" x14ac:dyDescent="0.25">
      <c r="A20" s="29" t="s">
        <v>78</v>
      </c>
      <c r="B20" s="41" t="s">
        <v>149</v>
      </c>
      <c r="C20" s="35"/>
      <c r="D20" s="43">
        <f>'Bud. 2017 Kyrkja mi- interne ko'!C24</f>
        <v>6000</v>
      </c>
    </row>
    <row r="21" spans="1:4" ht="15" x14ac:dyDescent="0.25">
      <c r="A21" s="29" t="s">
        <v>113</v>
      </c>
      <c r="B21" s="41" t="s">
        <v>150</v>
      </c>
      <c r="C21" s="35"/>
      <c r="D21" s="43">
        <f>'Bud. 2017 Kyrkja mi- interne ko'!C18</f>
        <v>9900</v>
      </c>
    </row>
    <row r="22" spans="1:4" ht="15" x14ac:dyDescent="0.25">
      <c r="A22" s="29" t="s">
        <v>57</v>
      </c>
      <c r="B22" s="41" t="s">
        <v>2</v>
      </c>
      <c r="C22" s="35"/>
      <c r="D22" s="43">
        <f>'Bud. 2017 Kyrkja mi- interne ko'!C28</f>
        <v>28000</v>
      </c>
    </row>
    <row r="23" spans="1:4" ht="15" x14ac:dyDescent="0.25">
      <c r="A23" s="29" t="s">
        <v>213</v>
      </c>
      <c r="B23" s="41" t="s">
        <v>216</v>
      </c>
      <c r="C23" s="35"/>
      <c r="D23" s="43">
        <f>'Bud. 2017 Kyrkja mi- interne ko'!C15</f>
        <v>3000</v>
      </c>
    </row>
    <row r="24" spans="1:4" ht="15" x14ac:dyDescent="0.25">
      <c r="A24" s="90" t="s">
        <v>152</v>
      </c>
      <c r="B24" s="91" t="s">
        <v>155</v>
      </c>
      <c r="C24" s="37"/>
      <c r="D24" s="43">
        <f>'Bud. 2017 Kyrkja mi- interne ko'!C30</f>
        <v>3000</v>
      </c>
    </row>
    <row r="25" spans="1:4" ht="15" x14ac:dyDescent="0.25">
      <c r="A25" s="29" t="s">
        <v>223</v>
      </c>
      <c r="B25" s="41" t="s">
        <v>224</v>
      </c>
      <c r="C25" s="35"/>
      <c r="D25" s="43">
        <f>'Bud. 2017 Kyrkja mi- interne ko'!C32</f>
        <v>0</v>
      </c>
    </row>
    <row r="26" spans="1:4" ht="15" x14ac:dyDescent="0.25">
      <c r="A26" s="29"/>
      <c r="B26" s="46" t="s">
        <v>60</v>
      </c>
      <c r="C26" s="47"/>
      <c r="D26" s="48">
        <f>SUM(D12:D25)</f>
        <v>1150000.3048333335</v>
      </c>
    </row>
    <row r="27" spans="1:4" ht="15" x14ac:dyDescent="0.25">
      <c r="A27" s="29"/>
      <c r="B27" s="41"/>
      <c r="C27" s="35"/>
      <c r="D27" s="39"/>
    </row>
    <row r="28" spans="1:4" ht="15.75" thickBot="1" x14ac:dyDescent="0.3">
      <c r="A28" s="29"/>
      <c r="B28" s="50" t="s">
        <v>61</v>
      </c>
      <c r="C28" s="51"/>
      <c r="D28" s="170">
        <f>D9-D26</f>
        <v>-0.3048333334736526</v>
      </c>
    </row>
    <row r="29" spans="1:4" ht="15" x14ac:dyDescent="0.25">
      <c r="A29" s="29"/>
      <c r="B29" s="41"/>
      <c r="C29" s="35"/>
      <c r="D29" s="39"/>
    </row>
    <row r="32" spans="1:4" x14ac:dyDescent="0.2">
      <c r="D3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Budsjett 2017 oppdelt i funk.</vt:lpstr>
      <vt:lpstr>Notater EKF 2017</vt:lpstr>
      <vt:lpstr>EKF Lønnsnøkkel - notater 2017</vt:lpstr>
      <vt:lpstr>Investeringsbudsjett EKF</vt:lpstr>
      <vt:lpstr>Budsjett 2017 Kyrkja mi</vt:lpstr>
      <vt:lpstr>Bud. 2017 Kyrkja mi- interne ko</vt:lpstr>
      <vt:lpstr>Notater 2017 - Kyrkja mi</vt:lpstr>
      <vt:lpstr>Budsjett trosopplæringen 2017</vt:lpstr>
      <vt:lpstr>'Budsjett 2017 oppdelt i funk.'!Utskriftsområde</vt:lpstr>
    </vt:vector>
  </TitlesOfParts>
  <Company>Valdres kommuner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Serhiy Bykov</cp:lastModifiedBy>
  <cp:lastPrinted>2015-01-27T11:39:13Z</cp:lastPrinted>
  <dcterms:created xsi:type="dcterms:W3CDTF">2011-05-27T06:15:50Z</dcterms:created>
  <dcterms:modified xsi:type="dcterms:W3CDTF">2017-03-30T10:58:11Z</dcterms:modified>
  <cp:contentStatus/>
</cp:coreProperties>
</file>