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op554_kirken_no/Documents/Mine mapper/Kirkevergen/Nordre Follo/2023/Kirkelig fellesråd/AU/"/>
    </mc:Choice>
  </mc:AlternateContent>
  <xr:revisionPtr revIDLastSave="0" documentId="8_{BDF1808C-379C-4D4F-BDA3-33E424A6D012}" xr6:coauthVersionLast="47" xr6:coauthVersionMax="47" xr10:uidLastSave="{00000000-0000-0000-0000-000000000000}"/>
  <bookViews>
    <workbookView xWindow="-103" yWindow="-103" windowWidth="29692" windowHeight="11829" xr2:uid="{00000000-000D-0000-FFFF-FFFF00000000}"/>
  </bookViews>
  <sheets>
    <sheet name="Ansvar" sheetId="2" r:id="rId1"/>
    <sheet name="Konto" sheetId="1" r:id="rId2"/>
    <sheet name="Ark2" sheetId="3" r:id="rId3"/>
  </sheets>
  <definedNames>
    <definedName name="_xlnm._FilterDatabase" localSheetId="1" hidden="1">Konto!$A$1:$DY$422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26" i="1" l="1"/>
  <c r="W312" i="1"/>
  <c r="G209" i="2"/>
  <c r="F132" i="2"/>
  <c r="F127" i="2"/>
  <c r="F126" i="2"/>
  <c r="F125" i="2"/>
  <c r="V312" i="1"/>
  <c r="F79" i="2"/>
  <c r="D78" i="2"/>
  <c r="G30" i="2" l="1"/>
  <c r="G29" i="2"/>
  <c r="G28" i="2"/>
  <c r="G3" i="2"/>
  <c r="V230" i="1"/>
  <c r="U172" i="1"/>
  <c r="V104" i="1"/>
  <c r="W58" i="1"/>
  <c r="W41" i="1"/>
  <c r="F78" i="2"/>
  <c r="F80" i="2"/>
  <c r="F81" i="2"/>
  <c r="G189" i="2" l="1"/>
  <c r="Y132" i="1"/>
  <c r="Y69" i="1"/>
  <c r="Y7" i="1"/>
  <c r="AA19" i="1"/>
  <c r="AA20" i="1"/>
  <c r="AA17" i="1"/>
  <c r="AA21" i="1" s="1"/>
  <c r="Y20" i="1"/>
  <c r="Y19" i="1"/>
  <c r="Y18" i="1"/>
  <c r="Y17" i="1"/>
  <c r="V420" i="1"/>
  <c r="V326" i="1"/>
  <c r="F194" i="2" s="1"/>
  <c r="V244" i="1"/>
  <c r="F192" i="2" s="1"/>
  <c r="V190" i="1"/>
  <c r="V172" i="1"/>
  <c r="V124" i="1"/>
  <c r="V58" i="1"/>
  <c r="V41" i="1"/>
  <c r="G159" i="2"/>
  <c r="G158" i="2"/>
  <c r="W377" i="1"/>
  <c r="W381" i="1"/>
  <c r="W420" i="1"/>
  <c r="W407" i="1"/>
  <c r="W368" i="1"/>
  <c r="W353" i="1"/>
  <c r="W273" i="1"/>
  <c r="W266" i="1"/>
  <c r="W244" i="1"/>
  <c r="W230" i="1"/>
  <c r="W190" i="1"/>
  <c r="W172" i="1"/>
  <c r="W124" i="1"/>
  <c r="W104" i="1" l="1"/>
  <c r="G190" i="2" s="1"/>
  <c r="F159" i="2"/>
  <c r="F117" i="2"/>
  <c r="V407" i="1"/>
  <c r="V381" i="1"/>
  <c r="V368" i="1"/>
  <c r="V353" i="1"/>
  <c r="G32" i="2"/>
  <c r="G204" i="2"/>
  <c r="G195" i="2"/>
  <c r="G194" i="2"/>
  <c r="G191" i="2"/>
  <c r="G178" i="2"/>
  <c r="G177" i="2"/>
  <c r="G176" i="2"/>
  <c r="G175" i="2"/>
  <c r="G170" i="2"/>
  <c r="G169" i="2"/>
  <c r="G164" i="2"/>
  <c r="G163" i="2"/>
  <c r="G160" i="2"/>
  <c r="G161" i="2" s="1"/>
  <c r="G153" i="2"/>
  <c r="G152" i="2"/>
  <c r="G151" i="2"/>
  <c r="G150" i="2"/>
  <c r="G149" i="2"/>
  <c r="G148" i="2"/>
  <c r="G147" i="2"/>
  <c r="G142" i="2"/>
  <c r="G141" i="2"/>
  <c r="G140" i="2"/>
  <c r="G139" i="2"/>
  <c r="G132" i="2"/>
  <c r="G129" i="2"/>
  <c r="G128" i="2"/>
  <c r="G127" i="2"/>
  <c r="G126" i="2"/>
  <c r="G125" i="2"/>
  <c r="G122" i="2"/>
  <c r="G121" i="2"/>
  <c r="G120" i="2"/>
  <c r="G119" i="2"/>
  <c r="G118" i="2"/>
  <c r="G117" i="2"/>
  <c r="G116" i="2"/>
  <c r="G109" i="2"/>
  <c r="G107" i="2"/>
  <c r="G106" i="2"/>
  <c r="G102" i="2"/>
  <c r="G101" i="2"/>
  <c r="G100" i="2"/>
  <c r="G94" i="2"/>
  <c r="G93" i="2"/>
  <c r="G91" i="2"/>
  <c r="G90" i="2"/>
  <c r="G89" i="2"/>
  <c r="G88" i="2"/>
  <c r="G87" i="2"/>
  <c r="G83" i="2"/>
  <c r="G81" i="2"/>
  <c r="G80" i="2"/>
  <c r="G79" i="2"/>
  <c r="G78" i="2"/>
  <c r="G72" i="2"/>
  <c r="G71" i="2"/>
  <c r="G70" i="2"/>
  <c r="G69" i="2"/>
  <c r="G68" i="2"/>
  <c r="G67" i="2"/>
  <c r="G66" i="2"/>
  <c r="G65" i="2"/>
  <c r="G61" i="2"/>
  <c r="G58" i="2"/>
  <c r="G57" i="2"/>
  <c r="G56" i="2"/>
  <c r="G55" i="2"/>
  <c r="G49" i="2"/>
  <c r="G48" i="2"/>
  <c r="G47" i="2"/>
  <c r="G46" i="2"/>
  <c r="G45" i="2"/>
  <c r="G44" i="2"/>
  <c r="G43" i="2"/>
  <c r="G42" i="2"/>
  <c r="G41" i="2"/>
  <c r="G40" i="2"/>
  <c r="G36" i="2"/>
  <c r="G33" i="2"/>
  <c r="G31" i="2"/>
  <c r="G23" i="2"/>
  <c r="G22" i="2"/>
  <c r="G21" i="2"/>
  <c r="G20" i="2"/>
  <c r="G19" i="2"/>
  <c r="G17" i="2"/>
  <c r="G16" i="2"/>
  <c r="G15" i="2"/>
  <c r="G14" i="2"/>
  <c r="G12" i="2"/>
  <c r="G9" i="2"/>
  <c r="G8" i="2"/>
  <c r="G7" i="2"/>
  <c r="G5" i="2"/>
  <c r="G4" i="2"/>
  <c r="F164" i="2"/>
  <c r="F163" i="2"/>
  <c r="F165" i="2" s="1"/>
  <c r="F160" i="2"/>
  <c r="F161" i="2" s="1"/>
  <c r="F178" i="2"/>
  <c r="F176" i="2"/>
  <c r="F177" i="2"/>
  <c r="F175" i="2"/>
  <c r="F170" i="2"/>
  <c r="F153" i="2"/>
  <c r="F152" i="2"/>
  <c r="F151" i="2"/>
  <c r="F148" i="2"/>
  <c r="F147" i="2"/>
  <c r="F140" i="2"/>
  <c r="F139" i="2"/>
  <c r="F116" i="2"/>
  <c r="F67" i="2"/>
  <c r="F66" i="2"/>
  <c r="F29" i="2"/>
  <c r="F28" i="2"/>
  <c r="F15" i="2"/>
  <c r="E15" i="2"/>
  <c r="E14" i="2"/>
  <c r="F14" i="2"/>
  <c r="F4" i="2"/>
  <c r="E4" i="2"/>
  <c r="F204" i="2"/>
  <c r="F169" i="2"/>
  <c r="F150" i="2"/>
  <c r="F149" i="2"/>
  <c r="F142" i="2"/>
  <c r="F141" i="2"/>
  <c r="F129" i="2"/>
  <c r="F122" i="2"/>
  <c r="F121" i="2"/>
  <c r="F120" i="2"/>
  <c r="F119" i="2"/>
  <c r="F118" i="2"/>
  <c r="F109" i="2"/>
  <c r="F107" i="2"/>
  <c r="F106" i="2"/>
  <c r="F102" i="2"/>
  <c r="F101" i="2"/>
  <c r="F100" i="2"/>
  <c r="F94" i="2"/>
  <c r="F93" i="2"/>
  <c r="F91" i="2"/>
  <c r="F90" i="2"/>
  <c r="F89" i="2"/>
  <c r="F88" i="2"/>
  <c r="F87" i="2"/>
  <c r="F83" i="2"/>
  <c r="F72" i="2"/>
  <c r="F71" i="2"/>
  <c r="F70" i="2"/>
  <c r="F69" i="2"/>
  <c r="F68" i="2"/>
  <c r="F65" i="2"/>
  <c r="F61" i="2"/>
  <c r="F58" i="2"/>
  <c r="F57" i="2"/>
  <c r="F56" i="2"/>
  <c r="F55" i="2"/>
  <c r="F49" i="2"/>
  <c r="F48" i="2"/>
  <c r="F47" i="2"/>
  <c r="F46" i="2"/>
  <c r="F45" i="2"/>
  <c r="F44" i="2"/>
  <c r="F43" i="2"/>
  <c r="F42" i="2"/>
  <c r="F41" i="2"/>
  <c r="F40" i="2"/>
  <c r="F36" i="2"/>
  <c r="F33" i="2"/>
  <c r="F32" i="2"/>
  <c r="F31" i="2"/>
  <c r="F30" i="2"/>
  <c r="F23" i="2"/>
  <c r="F22" i="2"/>
  <c r="F21" i="2"/>
  <c r="F20" i="2"/>
  <c r="F19" i="2"/>
  <c r="F17" i="2"/>
  <c r="F16" i="2"/>
  <c r="F12" i="2"/>
  <c r="F9" i="2"/>
  <c r="F8" i="2"/>
  <c r="F7" i="2"/>
  <c r="F5" i="2"/>
  <c r="F3" i="2"/>
  <c r="V377" i="1"/>
  <c r="V273" i="1"/>
  <c r="V266" i="1"/>
  <c r="D204" i="2"/>
  <c r="E122" i="2"/>
  <c r="D151" i="2"/>
  <c r="E117" i="2"/>
  <c r="E121" i="2"/>
  <c r="E120" i="2"/>
  <c r="E119" i="2"/>
  <c r="E118" i="2"/>
  <c r="E116" i="2"/>
  <c r="E126" i="2"/>
  <c r="E125" i="2"/>
  <c r="E88" i="2"/>
  <c r="E90" i="2"/>
  <c r="E79" i="2"/>
  <c r="E78" i="2"/>
  <c r="E44" i="2"/>
  <c r="E56" i="2"/>
  <c r="E55" i="2"/>
  <c r="E3" i="2"/>
  <c r="G37" i="2" l="1"/>
  <c r="G165" i="2"/>
  <c r="F195" i="2"/>
  <c r="G103" i="2"/>
  <c r="G154" i="2"/>
  <c r="F211" i="2"/>
  <c r="G173" i="2"/>
  <c r="G111" i="2"/>
  <c r="G179" i="2"/>
  <c r="F196" i="2"/>
  <c r="G123" i="2"/>
  <c r="G95" i="2"/>
  <c r="G145" i="2"/>
  <c r="F166" i="2"/>
  <c r="G134" i="2"/>
  <c r="F191" i="2"/>
  <c r="F190" i="2"/>
  <c r="F189" i="2"/>
  <c r="G84" i="2"/>
  <c r="G73" i="2"/>
  <c r="G62" i="2"/>
  <c r="G211" i="2"/>
  <c r="G51" i="2"/>
  <c r="G24" i="2"/>
  <c r="G10" i="2"/>
  <c r="F154" i="2"/>
  <c r="F179" i="2"/>
  <c r="F134" i="2"/>
  <c r="F173" i="2"/>
  <c r="F123" i="2"/>
  <c r="F73" i="2"/>
  <c r="F51" i="2"/>
  <c r="F62" i="2"/>
  <c r="F103" i="2"/>
  <c r="F37" i="2"/>
  <c r="F95" i="2"/>
  <c r="F84" i="2"/>
  <c r="F111" i="2"/>
  <c r="F145" i="2"/>
  <c r="F24" i="2"/>
  <c r="F10" i="2"/>
  <c r="E123" i="2"/>
  <c r="D35" i="2"/>
  <c r="D34" i="2"/>
  <c r="D7" i="2"/>
  <c r="D6" i="2"/>
  <c r="D5" i="2"/>
  <c r="D4" i="2"/>
  <c r="D3" i="2"/>
  <c r="D32" i="2"/>
  <c r="D29" i="2"/>
  <c r="G112" i="2" l="1"/>
  <c r="G201" i="2"/>
  <c r="G180" i="2"/>
  <c r="G193" i="2"/>
  <c r="G96" i="2"/>
  <c r="G25" i="2"/>
  <c r="G155" i="2"/>
  <c r="G197" i="2"/>
  <c r="G166" i="2"/>
  <c r="G74" i="2"/>
  <c r="G52" i="2"/>
  <c r="G135" i="2"/>
  <c r="G202" i="2"/>
  <c r="F202" i="2"/>
  <c r="F201" i="2"/>
  <c r="G192" i="2"/>
  <c r="F193" i="2"/>
  <c r="F52" i="2"/>
  <c r="F112" i="2"/>
  <c r="F197" i="2"/>
  <c r="F135" i="2"/>
  <c r="F180" i="2"/>
  <c r="F155" i="2"/>
  <c r="F74" i="2"/>
  <c r="F96" i="2"/>
  <c r="F25" i="2"/>
  <c r="D44" i="2"/>
  <c r="D31" i="2"/>
  <c r="D30" i="2"/>
  <c r="D28" i="2"/>
  <c r="D21" i="2"/>
  <c r="D18" i="2"/>
  <c r="D23" i="2"/>
  <c r="D22" i="2"/>
  <c r="D20" i="2"/>
  <c r="D19" i="2"/>
  <c r="D17" i="2"/>
  <c r="D15" i="2"/>
  <c r="D13" i="2"/>
  <c r="F198" i="2" l="1"/>
  <c r="G203" i="2"/>
  <c r="G198" i="2"/>
  <c r="F203" i="2"/>
  <c r="D16" i="2"/>
  <c r="D9" i="2"/>
  <c r="E142" i="2" l="1"/>
  <c r="C153" i="2"/>
  <c r="C149" i="2"/>
  <c r="D149" i="2"/>
  <c r="C147" i="2"/>
  <c r="D147" i="2"/>
  <c r="C152" i="2"/>
  <c r="D178" i="2" l="1"/>
  <c r="D176" i="2"/>
  <c r="D177" i="2"/>
  <c r="D175" i="2"/>
  <c r="D170" i="2"/>
  <c r="D172" i="2"/>
  <c r="D171" i="2"/>
  <c r="D169" i="2"/>
  <c r="D153" i="2"/>
  <c r="D152" i="2"/>
  <c r="D150" i="2"/>
  <c r="D142" i="2"/>
  <c r="D140" i="2"/>
  <c r="D139" i="2"/>
  <c r="D144" i="2"/>
  <c r="D141" i="2"/>
  <c r="D133" i="2"/>
  <c r="D132" i="2"/>
  <c r="D129" i="2"/>
  <c r="D128" i="2"/>
  <c r="D127" i="2"/>
  <c r="D126" i="2"/>
  <c r="D125" i="2"/>
  <c r="D117" i="2"/>
  <c r="D116" i="2"/>
  <c r="D120" i="2"/>
  <c r="D118" i="2"/>
  <c r="D102" i="2"/>
  <c r="D101" i="2"/>
  <c r="D100" i="2"/>
  <c r="D109" i="2"/>
  <c r="D107" i="2"/>
  <c r="D106" i="2"/>
  <c r="D94" i="2"/>
  <c r="D93" i="2"/>
  <c r="D91" i="2"/>
  <c r="D90" i="2"/>
  <c r="D89" i="2"/>
  <c r="D88" i="2"/>
  <c r="D87" i="2"/>
  <c r="C79" i="2"/>
  <c r="D79" i="2"/>
  <c r="D83" i="2"/>
  <c r="D82" i="2"/>
  <c r="D81" i="2"/>
  <c r="D80" i="2"/>
  <c r="D67" i="2"/>
  <c r="D66" i="2"/>
  <c r="D65" i="2"/>
  <c r="D72" i="2"/>
  <c r="D70" i="2"/>
  <c r="D69" i="2"/>
  <c r="D68" i="2"/>
  <c r="D56" i="2"/>
  <c r="D55" i="2"/>
  <c r="D61" i="2"/>
  <c r="D58" i="2"/>
  <c r="D57" i="2"/>
  <c r="D49" i="2"/>
  <c r="D47" i="2"/>
  <c r="D46" i="2"/>
  <c r="D45" i="2"/>
  <c r="D43" i="2"/>
  <c r="D42" i="2"/>
  <c r="D41" i="2"/>
  <c r="D40" i="2"/>
  <c r="D33" i="2"/>
  <c r="D36" i="2"/>
  <c r="C8" i="2"/>
  <c r="C7" i="2"/>
  <c r="C5" i="2"/>
  <c r="C4" i="2"/>
  <c r="C3" i="2"/>
  <c r="T420" i="1"/>
  <c r="T407" i="1"/>
  <c r="T368" i="1"/>
  <c r="T353" i="1"/>
  <c r="T326" i="1"/>
  <c r="T312" i="1"/>
  <c r="T273" i="1"/>
  <c r="T266" i="1"/>
  <c r="T244" i="1"/>
  <c r="T230" i="1"/>
  <c r="T190" i="1"/>
  <c r="T172" i="1"/>
  <c r="T124" i="1"/>
  <c r="T104" i="1"/>
  <c r="T58" i="1"/>
  <c r="T41" i="1"/>
  <c r="E193" i="2"/>
  <c r="C193" i="2"/>
  <c r="E101" i="2"/>
  <c r="E204" i="2"/>
  <c r="E176" i="2"/>
  <c r="E179" i="2" s="1"/>
  <c r="E169" i="2"/>
  <c r="E173" i="2" s="1"/>
  <c r="E150" i="2"/>
  <c r="E149" i="2"/>
  <c r="E141" i="2"/>
  <c r="E140" i="2"/>
  <c r="E139" i="2"/>
  <c r="E132" i="2"/>
  <c r="E129" i="2"/>
  <c r="E128" i="2"/>
  <c r="E127" i="2"/>
  <c r="E109" i="2"/>
  <c r="E107" i="2"/>
  <c r="E106" i="2"/>
  <c r="E102" i="2"/>
  <c r="E100" i="2"/>
  <c r="E94" i="2"/>
  <c r="E93" i="2"/>
  <c r="E91" i="2"/>
  <c r="E89" i="2"/>
  <c r="E87" i="2"/>
  <c r="E83" i="2"/>
  <c r="E81" i="2"/>
  <c r="E80" i="2"/>
  <c r="E72" i="2"/>
  <c r="E71" i="2"/>
  <c r="E70" i="2"/>
  <c r="E69" i="2"/>
  <c r="E68" i="2"/>
  <c r="E66" i="2"/>
  <c r="E65" i="2"/>
  <c r="E61" i="2"/>
  <c r="E58" i="2"/>
  <c r="E57" i="2"/>
  <c r="E49" i="2"/>
  <c r="E48" i="2"/>
  <c r="E47" i="2"/>
  <c r="E46" i="2"/>
  <c r="E45" i="2"/>
  <c r="E43" i="2"/>
  <c r="E42" i="2"/>
  <c r="E41" i="2"/>
  <c r="E40" i="2"/>
  <c r="E36" i="2"/>
  <c r="E33" i="2"/>
  <c r="E32" i="2"/>
  <c r="E31" i="2"/>
  <c r="E30" i="2"/>
  <c r="E29" i="2"/>
  <c r="E28" i="2"/>
  <c r="E23" i="2"/>
  <c r="E22" i="2"/>
  <c r="E21" i="2"/>
  <c r="E20" i="2"/>
  <c r="E19" i="2"/>
  <c r="E17" i="2"/>
  <c r="E16" i="2"/>
  <c r="E12" i="2"/>
  <c r="E9" i="2"/>
  <c r="E8" i="2"/>
  <c r="E7" i="2"/>
  <c r="E5" i="2"/>
  <c r="U326" i="1"/>
  <c r="U312" i="1"/>
  <c r="S353" i="1"/>
  <c r="U420" i="1"/>
  <c r="U407" i="1"/>
  <c r="U368" i="1"/>
  <c r="U353" i="1"/>
  <c r="U273" i="1"/>
  <c r="U266" i="1"/>
  <c r="U244" i="1"/>
  <c r="U230" i="1"/>
  <c r="U190" i="1"/>
  <c r="U124" i="1"/>
  <c r="U104" i="1"/>
  <c r="U58" i="1"/>
  <c r="U41" i="1"/>
  <c r="C43" i="2"/>
  <c r="C66" i="2"/>
  <c r="C144" i="2"/>
  <c r="C29" i="2"/>
  <c r="S312" i="1"/>
  <c r="C87" i="2"/>
  <c r="S230" i="1"/>
  <c r="C204" i="2"/>
  <c r="S244" i="1"/>
  <c r="C176" i="2"/>
  <c r="C179" i="2" s="1"/>
  <c r="C169" i="2"/>
  <c r="C173" i="2" s="1"/>
  <c r="C150" i="2"/>
  <c r="C154" i="2" s="1"/>
  <c r="C141" i="2"/>
  <c r="C140" i="2"/>
  <c r="C139" i="2"/>
  <c r="C133" i="2"/>
  <c r="C132" i="2"/>
  <c r="C129" i="2"/>
  <c r="C128" i="2"/>
  <c r="C127" i="2"/>
  <c r="C126" i="2"/>
  <c r="C125" i="2"/>
  <c r="C120" i="2"/>
  <c r="C118" i="2"/>
  <c r="C117" i="2"/>
  <c r="C109" i="2"/>
  <c r="C107" i="2"/>
  <c r="C106" i="2"/>
  <c r="C102" i="2"/>
  <c r="C101" i="2"/>
  <c r="C100" i="2"/>
  <c r="C94" i="2"/>
  <c r="C93" i="2"/>
  <c r="C91" i="2"/>
  <c r="C89" i="2"/>
  <c r="C83" i="2"/>
  <c r="C81" i="2"/>
  <c r="C80" i="2"/>
  <c r="C78" i="2"/>
  <c r="C72" i="2"/>
  <c r="C71" i="2"/>
  <c r="C70" i="2"/>
  <c r="C69" i="2"/>
  <c r="C68" i="2"/>
  <c r="C65" i="2"/>
  <c r="C61" i="2"/>
  <c r="C58" i="2"/>
  <c r="C57" i="2"/>
  <c r="C56" i="2"/>
  <c r="C55" i="2"/>
  <c r="C49" i="2"/>
  <c r="C48" i="2"/>
  <c r="C47" i="2"/>
  <c r="C46" i="2"/>
  <c r="C45" i="2"/>
  <c r="C42" i="2"/>
  <c r="C41" i="2"/>
  <c r="C40" i="2"/>
  <c r="C36" i="2"/>
  <c r="C33" i="2"/>
  <c r="C32" i="2"/>
  <c r="C31" i="2"/>
  <c r="C30" i="2"/>
  <c r="C28" i="2"/>
  <c r="C23" i="2"/>
  <c r="C22" i="2"/>
  <c r="C21" i="2"/>
  <c r="C20" i="2"/>
  <c r="C19" i="2"/>
  <c r="C17" i="2"/>
  <c r="C16" i="2"/>
  <c r="C12" i="2"/>
  <c r="C9" i="2"/>
  <c r="S273" i="1"/>
  <c r="S266" i="1"/>
  <c r="S326" i="1"/>
  <c r="S420" i="1"/>
  <c r="S407" i="1"/>
  <c r="S368" i="1"/>
  <c r="S190" i="1"/>
  <c r="S172" i="1"/>
  <c r="S124" i="1"/>
  <c r="S104" i="1"/>
  <c r="D84" i="2" l="1"/>
  <c r="E195" i="2"/>
  <c r="E194" i="2"/>
  <c r="E191" i="2"/>
  <c r="D193" i="2"/>
  <c r="E189" i="2"/>
  <c r="E190" i="2"/>
  <c r="D194" i="2"/>
  <c r="D192" i="2"/>
  <c r="D189" i="2"/>
  <c r="D154" i="2"/>
  <c r="D111" i="2"/>
  <c r="D134" i="2"/>
  <c r="D179" i="2"/>
  <c r="D173" i="2"/>
  <c r="D145" i="2"/>
  <c r="D95" i="2"/>
  <c r="D51" i="2"/>
  <c r="D123" i="2"/>
  <c r="D103" i="2"/>
  <c r="D73" i="2"/>
  <c r="D62" i="2"/>
  <c r="D10" i="2"/>
  <c r="D37" i="2"/>
  <c r="D24" i="2"/>
  <c r="E197" i="2"/>
  <c r="E211" i="2"/>
  <c r="E134" i="2"/>
  <c r="E51" i="2"/>
  <c r="E154" i="2"/>
  <c r="E73" i="2"/>
  <c r="E37" i="2"/>
  <c r="E111" i="2"/>
  <c r="E145" i="2"/>
  <c r="E62" i="2"/>
  <c r="E95" i="2"/>
  <c r="E10" i="2"/>
  <c r="E24" i="2"/>
  <c r="E84" i="2"/>
  <c r="E180" i="2"/>
  <c r="E103" i="2"/>
  <c r="C191" i="2"/>
  <c r="C190" i="2"/>
  <c r="C145" i="2"/>
  <c r="C183" i="2"/>
  <c r="C185" i="2" s="1"/>
  <c r="C95" i="2"/>
  <c r="C37" i="2"/>
  <c r="C51" i="2"/>
  <c r="C73" i="2"/>
  <c r="C84" i="2"/>
  <c r="C111" i="2"/>
  <c r="C123" i="2"/>
  <c r="C180" i="2"/>
  <c r="C197" i="2"/>
  <c r="C10" i="2"/>
  <c r="C62" i="2"/>
  <c r="C103" i="2"/>
  <c r="C134" i="2"/>
  <c r="C24" i="2"/>
  <c r="S58" i="1"/>
  <c r="S41" i="1"/>
  <c r="E202" i="2" l="1"/>
  <c r="D190" i="2"/>
  <c r="D191" i="2"/>
  <c r="D201" i="2"/>
  <c r="D197" i="2"/>
  <c r="C201" i="2"/>
  <c r="D202" i="2"/>
  <c r="E201" i="2"/>
  <c r="D195" i="2"/>
  <c r="C195" i="2"/>
  <c r="C202" i="2"/>
  <c r="D74" i="2"/>
  <c r="D180" i="2"/>
  <c r="D155" i="2"/>
  <c r="D112" i="2"/>
  <c r="D135" i="2"/>
  <c r="D96" i="2"/>
  <c r="D52" i="2"/>
  <c r="D25" i="2"/>
  <c r="E192" i="2"/>
  <c r="E52" i="2"/>
  <c r="E96" i="2"/>
  <c r="E25" i="2"/>
  <c r="E155" i="2"/>
  <c r="E135" i="2"/>
  <c r="E74" i="2"/>
  <c r="E112" i="2"/>
  <c r="C96" i="2"/>
  <c r="C135" i="2"/>
  <c r="C192" i="2"/>
  <c r="C194" i="2"/>
  <c r="C25" i="2"/>
  <c r="C155" i="2"/>
  <c r="C112" i="2"/>
  <c r="C189" i="2"/>
  <c r="C52" i="2"/>
  <c r="C74" i="2"/>
  <c r="E203" i="2" l="1"/>
  <c r="D203" i="2"/>
  <c r="D198" i="2"/>
  <c r="C198" i="2"/>
  <c r="C203" i="2"/>
  <c r="E198" i="2"/>
  <c r="P420" i="1" l="1"/>
  <c r="P407" i="1"/>
  <c r="P368" i="1"/>
  <c r="P353" i="1"/>
  <c r="P326" i="1"/>
  <c r="Q312" i="1"/>
  <c r="P312" i="1"/>
  <c r="P273" i="1"/>
  <c r="P266" i="1"/>
  <c r="P244" i="1"/>
  <c r="P230" i="1"/>
  <c r="P190" i="1"/>
  <c r="P172" i="1"/>
  <c r="P124" i="1"/>
  <c r="P104" i="1"/>
  <c r="P58" i="1" l="1"/>
  <c r="P41" i="1"/>
  <c r="Q420" i="1"/>
  <c r="Q407" i="1"/>
  <c r="Q368" i="1"/>
  <c r="Q353" i="1"/>
  <c r="Q326" i="1" l="1"/>
  <c r="Q273" i="1" l="1"/>
  <c r="Q266" i="1"/>
  <c r="Q244" i="1"/>
  <c r="Q230" i="1"/>
  <c r="Q190" i="1" l="1"/>
  <c r="Q172" i="1"/>
  <c r="Q124" i="1" l="1"/>
  <c r="Q104" i="1"/>
  <c r="Q58" i="1"/>
  <c r="Q41" i="1"/>
  <c r="R368" i="1" l="1"/>
  <c r="R273" i="1" l="1"/>
  <c r="R244" i="1"/>
  <c r="R312" i="1" l="1"/>
  <c r="B130" i="2" l="1"/>
  <c r="B131" i="2"/>
  <c r="B132" i="2"/>
  <c r="B125" i="2"/>
  <c r="B117" i="2"/>
  <c r="B116" i="2"/>
  <c r="L312" i="1"/>
  <c r="M312" i="1"/>
  <c r="O312" i="1"/>
  <c r="R326" i="1" l="1"/>
  <c r="L326" i="1"/>
  <c r="M326" i="1"/>
  <c r="O326" i="1"/>
  <c r="B34" i="2" l="1"/>
  <c r="B23" i="2"/>
  <c r="B9" i="2"/>
  <c r="B178" i="2" l="1"/>
  <c r="B109" i="2"/>
  <c r="B111" i="2" s="1"/>
  <c r="B100" i="2"/>
  <c r="B103" i="2" s="1"/>
  <c r="B92" i="2"/>
  <c r="B91" i="2"/>
  <c r="B90" i="2"/>
  <c r="B89" i="2"/>
  <c r="B88" i="2"/>
  <c r="B87" i="2"/>
  <c r="B78" i="2"/>
  <c r="B82" i="2"/>
  <c r="B81" i="2"/>
  <c r="B80" i="2"/>
  <c r="B79" i="2"/>
  <c r="O273" i="1"/>
  <c r="M273" i="1"/>
  <c r="L273" i="1"/>
  <c r="R266" i="1"/>
  <c r="O266" i="1"/>
  <c r="M266" i="1"/>
  <c r="L266" i="1"/>
  <c r="O244" i="1"/>
  <c r="M244" i="1"/>
  <c r="L244" i="1"/>
  <c r="R230" i="1"/>
  <c r="O230" i="1"/>
  <c r="M230" i="1"/>
  <c r="L230" i="1"/>
  <c r="B112" i="2" l="1"/>
  <c r="B95" i="2"/>
  <c r="B84" i="2"/>
  <c r="B128" i="2"/>
  <c r="B127" i="2"/>
  <c r="B126" i="2"/>
  <c r="B120" i="2"/>
  <c r="B119" i="2"/>
  <c r="B118" i="2"/>
  <c r="B123" i="2" l="1"/>
  <c r="B134" i="2"/>
  <c r="B96" i="2"/>
  <c r="B135" i="2" l="1"/>
  <c r="B175" i="2" l="1"/>
  <c r="B176" i="2"/>
  <c r="B169" i="2"/>
  <c r="B173" i="2" s="1"/>
  <c r="B151" i="2"/>
  <c r="B152" i="2"/>
  <c r="B150" i="2"/>
  <c r="B149" i="2"/>
  <c r="B140" i="2"/>
  <c r="B141" i="2"/>
  <c r="B139" i="2"/>
  <c r="B68" i="2"/>
  <c r="B66" i="2"/>
  <c r="B72" i="2"/>
  <c r="B69" i="2"/>
  <c r="B65" i="2"/>
  <c r="B60" i="2"/>
  <c r="B61" i="2"/>
  <c r="B58" i="2"/>
  <c r="B57" i="2"/>
  <c r="B56" i="2"/>
  <c r="B55" i="2"/>
  <c r="B46" i="2"/>
  <c r="B42" i="2"/>
  <c r="B49" i="2"/>
  <c r="B47" i="2"/>
  <c r="B45" i="2"/>
  <c r="B41" i="2"/>
  <c r="B40" i="2"/>
  <c r="B36" i="2"/>
  <c r="B33" i="2"/>
  <c r="B32" i="2"/>
  <c r="B31" i="2"/>
  <c r="B29" i="2"/>
  <c r="B179" i="2" l="1"/>
  <c r="B180" i="2" s="1"/>
  <c r="B73" i="2"/>
  <c r="B145" i="2"/>
  <c r="B154" i="2"/>
  <c r="B51" i="2"/>
  <c r="B62" i="2"/>
  <c r="B28" i="2"/>
  <c r="B37" i="2" s="1"/>
  <c r="B15" i="2"/>
  <c r="B13" i="2"/>
  <c r="B21" i="2"/>
  <c r="B20" i="2"/>
  <c r="B19" i="2"/>
  <c r="B17" i="2"/>
  <c r="B12" i="2"/>
  <c r="B16" i="2"/>
  <c r="B3" i="2"/>
  <c r="B4" i="2"/>
  <c r="B7" i="2"/>
  <c r="B5" i="2"/>
  <c r="O353" i="1"/>
  <c r="O124" i="1"/>
  <c r="B52" i="2" l="1"/>
  <c r="B74" i="2"/>
  <c r="B155" i="2"/>
  <c r="B10" i="2"/>
  <c r="B24" i="2"/>
  <c r="B25" i="2" l="1"/>
  <c r="B183" i="2" s="1"/>
  <c r="L353" i="1" l="1"/>
  <c r="M353" i="1"/>
  <c r="R353" i="1"/>
  <c r="L368" i="1"/>
  <c r="M368" i="1"/>
  <c r="O368" i="1"/>
  <c r="L407" i="1"/>
  <c r="M407" i="1"/>
  <c r="O407" i="1"/>
  <c r="R407" i="1"/>
  <c r="L420" i="1"/>
  <c r="M420" i="1"/>
  <c r="O420" i="1"/>
  <c r="R420" i="1"/>
  <c r="O104" i="1" l="1"/>
  <c r="L190" i="1" l="1"/>
  <c r="M190" i="1"/>
  <c r="O190" i="1"/>
  <c r="R190" i="1"/>
  <c r="R172" i="1"/>
  <c r="O172" i="1"/>
  <c r="M172" i="1"/>
  <c r="L172" i="1"/>
  <c r="M124" i="1"/>
  <c r="L124" i="1"/>
  <c r="R124" i="1"/>
  <c r="R104" i="1"/>
  <c r="M104" i="1"/>
  <c r="L104" i="1"/>
  <c r="L58" i="1" l="1"/>
  <c r="M58" i="1"/>
  <c r="O58" i="1"/>
  <c r="R58" i="1"/>
  <c r="L41" i="1"/>
  <c r="M41" i="1"/>
  <c r="O41" i="1"/>
  <c r="R41" i="1"/>
</calcChain>
</file>

<file path=xl/sharedStrings.xml><?xml version="1.0" encoding="utf-8"?>
<sst xmlns="http://schemas.openxmlformats.org/spreadsheetml/2006/main" count="1891" uniqueCount="366">
  <si>
    <t>Regnskap 2020</t>
  </si>
  <si>
    <t>Budsjett 2022</t>
  </si>
  <si>
    <t>Revidert budsjett 2022</t>
  </si>
  <si>
    <t>Revidert budsjettforslag 2023</t>
  </si>
  <si>
    <t>Regnskap pr august 2023</t>
  </si>
  <si>
    <t>Revidert budsjett 2023</t>
  </si>
  <si>
    <t>Administrasjon ansvar 100</t>
  </si>
  <si>
    <t>Lønn og sosiale utgifter, inkl KLP</t>
  </si>
  <si>
    <t xml:space="preserve">Driftsutgifter </t>
  </si>
  <si>
    <t>Refusjon til kommune, regnskapsføring og lønnsbehandling</t>
  </si>
  <si>
    <t>Refusjon til menighetsråd</t>
  </si>
  <si>
    <t>Merverdiavgift</t>
  </si>
  <si>
    <t>Avsetning til ubundne fond</t>
  </si>
  <si>
    <t>Overføring til inv regnskap og avskrivninger</t>
  </si>
  <si>
    <t>Utgifter</t>
  </si>
  <si>
    <t>Diverse inntekter</t>
  </si>
  <si>
    <t>Refusjon fra Staten/Nav</t>
  </si>
  <si>
    <t xml:space="preserve">Refusjon fra rettssubjektet Den norske kirke </t>
  </si>
  <si>
    <t>Refusjoner fra andre/menighet</t>
  </si>
  <si>
    <t>Administrasjonsinntekter konf og trosopp</t>
  </si>
  <si>
    <t>Tilskudd fra staten/statlige institusjoner</t>
  </si>
  <si>
    <t>Tilskudd fra rettssubjektet Den norske kirke, prostesekretær</t>
  </si>
  <si>
    <t>Tilskudd fra kommunen</t>
  </si>
  <si>
    <t>Renteinntekter</t>
  </si>
  <si>
    <t>Bruk av ubundne fond, KLP</t>
  </si>
  <si>
    <t>Motpost inv regnskap og avskrivninger</t>
  </si>
  <si>
    <t>Inntekter</t>
  </si>
  <si>
    <t>Resultat mer-mindreforbruk</t>
  </si>
  <si>
    <t>Kirker ansvar 200</t>
  </si>
  <si>
    <t>Driftsutgifter</t>
  </si>
  <si>
    <t>Refusjon til kommune, regnskapsføring menigheter</t>
  </si>
  <si>
    <t>Tilskudd/gaver til menighetsråd, kirkevertordning mv</t>
  </si>
  <si>
    <t>Disagio</t>
  </si>
  <si>
    <t xml:space="preserve">Overføring til inv. regnskapet, nybygg, mva nybygg </t>
  </si>
  <si>
    <t>Avsetning ubundne fond</t>
  </si>
  <si>
    <t>Avskrivninger</t>
  </si>
  <si>
    <t>Diverse inntekter, billettinntekter, utleie mv</t>
  </si>
  <si>
    <t>Refusjoner fra menighetsråd (lønn) og andre/interne overføringer</t>
  </si>
  <si>
    <t>Sykelønnsrefusjon</t>
  </si>
  <si>
    <t>Tilskudd fra staten/strøm</t>
  </si>
  <si>
    <t>Refusjon fra Den norske kirke, lønn kateket</t>
  </si>
  <si>
    <t>(Utbytte Knif 2020) og bruk av ubundne fond i 2020</t>
  </si>
  <si>
    <t>Bruk av ubunde fond KLP, lønn</t>
  </si>
  <si>
    <t>Motpost avskrivninger</t>
  </si>
  <si>
    <t>Overføring fra driftsregnskapet investering/mva investering</t>
  </si>
  <si>
    <t>Gravlund ansvar 300</t>
  </si>
  <si>
    <t>Kalkulatoriske utgifter ved kommunal tjenesteyting</t>
  </si>
  <si>
    <t>Avsetning bundne fond Ski kirkegård</t>
  </si>
  <si>
    <t>Rente og avdragsutgifter</t>
  </si>
  <si>
    <t>Festeavgifter, salg gravstell, utensokns gebyrer mv</t>
  </si>
  <si>
    <t>Refusjoner fra NAV, ansatte kirkegård</t>
  </si>
  <si>
    <t>Refusjon fra andre</t>
  </si>
  <si>
    <t>Bruk av ubunde fond, evt. refusjon fra kommune ref samtaler i 2021</t>
  </si>
  <si>
    <t>Bruk av ubundne fond KLP, lønn</t>
  </si>
  <si>
    <t>Resultat mer- mindreforbruk</t>
  </si>
  <si>
    <t>Trosopplæring ansvar 400</t>
  </si>
  <si>
    <t>Refusjoner til FR, interne overføringer</t>
  </si>
  <si>
    <t>Tilskudd gaver til menighetsråd</t>
  </si>
  <si>
    <t>Avsetning til bundne fond</t>
  </si>
  <si>
    <t>Betaling fra deltakere</t>
  </si>
  <si>
    <t>Refusjon merverdiavgift</t>
  </si>
  <si>
    <t>Tilskudd fra rettssubjektet Den norske kirke</t>
  </si>
  <si>
    <t>Tilskudd gaver fra andre</t>
  </si>
  <si>
    <t>Bruk av bundne fond</t>
  </si>
  <si>
    <t>Lederforum ansvar 401</t>
  </si>
  <si>
    <t>Refusjon fra fellesråd</t>
  </si>
  <si>
    <t>Refusjon fra andre (Lene)</t>
  </si>
  <si>
    <t>Bruk av ubundne fond, KLP lønn</t>
  </si>
  <si>
    <t>Konfirmanter ansvar 402</t>
  </si>
  <si>
    <t>Refusjon til fellesråd</t>
  </si>
  <si>
    <t>Avgiftsfrie inntekter</t>
  </si>
  <si>
    <t>Kompenssjon mva</t>
  </si>
  <si>
    <t>Refusjoner fra andre</t>
  </si>
  <si>
    <t>Tilskudd fra FR, bruk av disp fond</t>
  </si>
  <si>
    <t>Tilskudd fra rettssubjektet Den norske kirke (lønn)</t>
  </si>
  <si>
    <t>Tilskudd fra kommunen (lønn)</t>
  </si>
  <si>
    <t>Tilskudd fra andre (K-stud)</t>
  </si>
  <si>
    <t xml:space="preserve">Bruk av bundne fond </t>
  </si>
  <si>
    <t>Diakoni ansvar 403</t>
  </si>
  <si>
    <t>Overføring til menighetsråd ungdomsdiakon</t>
  </si>
  <si>
    <t>Avsetning bundne fond, BUFDIR</t>
  </si>
  <si>
    <t>Bruk av bundne fond, ungdomsdiakon Ski</t>
  </si>
  <si>
    <t>Refusjoner fra NAV sykelønn</t>
  </si>
  <si>
    <t>Tilskudd fra Den norske kirke</t>
  </si>
  <si>
    <t>Kirkevalg, ansvar 404</t>
  </si>
  <si>
    <t xml:space="preserve">Lønn og sosiale utgifter </t>
  </si>
  <si>
    <t>Driftsutgifter, annonsering</t>
  </si>
  <si>
    <t>Tilskudd fra Dnk</t>
  </si>
  <si>
    <t>Menighetenes barne - og ungdomsarbeid, ansvar 406</t>
  </si>
  <si>
    <t>Lønn og sosiale utgifter forskuttert av NFKF</t>
  </si>
  <si>
    <t>Driftsutgifter, stillingsannonse, forsikringer</t>
  </si>
  <si>
    <t>Interne overføringer</t>
  </si>
  <si>
    <t>Refusjon fra staten/statlige institusjoner/sykepenger</t>
  </si>
  <si>
    <t>Refusjon lønn mv fra menighetsråd</t>
  </si>
  <si>
    <t>Innteker</t>
  </si>
  <si>
    <t xml:space="preserve"> </t>
  </si>
  <si>
    <t>Sum</t>
  </si>
  <si>
    <t>Resultat ved årrskiftet</t>
  </si>
  <si>
    <t>Ansvar 100</t>
  </si>
  <si>
    <t>Ansvar 200</t>
  </si>
  <si>
    <t>Ansvar 300</t>
  </si>
  <si>
    <t>Ansvar 400</t>
  </si>
  <si>
    <t>Ansvar 401</t>
  </si>
  <si>
    <t>Ansvar 402</t>
  </si>
  <si>
    <t>Ansvar 403</t>
  </si>
  <si>
    <t>Ansvar 404</t>
  </si>
  <si>
    <t>Ansvar 406</t>
  </si>
  <si>
    <t xml:space="preserve">Utgifter </t>
  </si>
  <si>
    <t xml:space="preserve">Inntekter </t>
  </si>
  <si>
    <t xml:space="preserve">Bruk av fond </t>
  </si>
  <si>
    <t xml:space="preserve">Bruk av bundne trosopplæring </t>
  </si>
  <si>
    <t>digitalt utstyr 2021</t>
  </si>
  <si>
    <t>Bruk av ubundne fond konfirmanter</t>
  </si>
  <si>
    <t>Bruk av disp fond</t>
  </si>
  <si>
    <t>Bruk av tidligere års regnskapsmessig mindreforbruk</t>
  </si>
  <si>
    <t>Rammetilskudd fra kommunen</t>
  </si>
  <si>
    <t>Ansvar</t>
  </si>
  <si>
    <t/>
  </si>
  <si>
    <t>Inntekter/Utgifter</t>
  </si>
  <si>
    <t>Konto</t>
  </si>
  <si>
    <t>Tjeneste</t>
  </si>
  <si>
    <t>Eiendel</t>
  </si>
  <si>
    <t>Akt/Tiltak</t>
  </si>
  <si>
    <t>Budsjett 2020</t>
  </si>
  <si>
    <t>Budsjett inkl. endring 2020</t>
  </si>
  <si>
    <t>Regnskap pr 31.10</t>
  </si>
  <si>
    <t>Revidert budsjett 2021</t>
  </si>
  <si>
    <t>Budsjett 2021</t>
  </si>
  <si>
    <t>Regnskap pr 31.8.2023</t>
  </si>
  <si>
    <t>Revidert budsjett II 2023</t>
  </si>
  <si>
    <t>100</t>
  </si>
  <si>
    <t>Administrasjon</t>
  </si>
  <si>
    <t>10100</t>
  </si>
  <si>
    <t>Fastlønn</t>
  </si>
  <si>
    <t>Renate er med her skal til 200</t>
  </si>
  <si>
    <t>10101</t>
  </si>
  <si>
    <t>Avtalefestede tillegg fastlønn</t>
  </si>
  <si>
    <t>10102</t>
  </si>
  <si>
    <t>Påløpte feriepenger</t>
  </si>
  <si>
    <t>10500</t>
  </si>
  <si>
    <t>Annen lønn og trekkpliktige godtgjørelse</t>
  </si>
  <si>
    <t>10800</t>
  </si>
  <si>
    <t>Godtgjørelse folkevalgte</t>
  </si>
  <si>
    <t>10900</t>
  </si>
  <si>
    <t>KLP Pensjon</t>
  </si>
  <si>
    <t>10950</t>
  </si>
  <si>
    <t>Trekkpliktige forsikringer</t>
  </si>
  <si>
    <t>10990</t>
  </si>
  <si>
    <t>Arbeidsgiveravgift</t>
  </si>
  <si>
    <t>11000</t>
  </si>
  <si>
    <t>Kontormateriell</t>
  </si>
  <si>
    <t>11100</t>
  </si>
  <si>
    <t>Aktivitetsrelatert forbruksmatriell/utstyr/tjenester</t>
  </si>
  <si>
    <t>11200</t>
  </si>
  <si>
    <t>Annet forbruksmateriell</t>
  </si>
  <si>
    <t>11204</t>
  </si>
  <si>
    <t>Påskjønnelser, gaver</t>
  </si>
  <si>
    <t>11205</t>
  </si>
  <si>
    <t>Kjøp av mat med mva fradag</t>
  </si>
  <si>
    <t>11206</t>
  </si>
  <si>
    <t>Kjøp av mat uten mva fradag</t>
  </si>
  <si>
    <t>11209</t>
  </si>
  <si>
    <t>Velferdstiltak</t>
  </si>
  <si>
    <t>Personalutgifter (HMS)</t>
  </si>
  <si>
    <t>11300</t>
  </si>
  <si>
    <t>Post- banktj- telefon- internett/bredbånd</t>
  </si>
  <si>
    <t>Avgiftsfrie gebyrer</t>
  </si>
  <si>
    <t>11400</t>
  </si>
  <si>
    <t>Annonser</t>
  </si>
  <si>
    <t>11500</t>
  </si>
  <si>
    <t>Opplæring og kurs</t>
  </si>
  <si>
    <t>11600</t>
  </si>
  <si>
    <t>Skyss og kostgodtjørelse- oppholdsutgifter (oppl.pliktige - ikke trekkpliktige)</t>
  </si>
  <si>
    <t>Andre oppgavepliktige godtgjørelser</t>
  </si>
  <si>
    <t>11700</t>
  </si>
  <si>
    <t>Ikke oppl.pl. reiseutgifter- skyssutgifter</t>
  </si>
  <si>
    <t>11850</t>
  </si>
  <si>
    <t>Forsikringer</t>
  </si>
  <si>
    <t>11950</t>
  </si>
  <si>
    <t>Kommunale avgifter</t>
  </si>
  <si>
    <t>11951</t>
  </si>
  <si>
    <t>Lisenser, kontingenter og andre gebyrer</t>
  </si>
  <si>
    <t>12000</t>
  </si>
  <si>
    <t>Inventar og utstyr</t>
  </si>
  <si>
    <t>12100</t>
  </si>
  <si>
    <t>Leie- leasing kjøp av transportmidler &lt;100.000</t>
  </si>
  <si>
    <t>12200</t>
  </si>
  <si>
    <t>Leie- leasing- kjøp av maskiner</t>
  </si>
  <si>
    <t>12400</t>
  </si>
  <si>
    <t>Serviceavtaler og reparasjoner og vaktmestertjenester</t>
  </si>
  <si>
    <t>12700</t>
  </si>
  <si>
    <t>Konsulenter- vikartjeneste- juridisk bistand o.l./revisjon</t>
  </si>
  <si>
    <t>13300</t>
  </si>
  <si>
    <t>Refusjon til kommune/regnsk.tj.</t>
  </si>
  <si>
    <t>13900</t>
  </si>
  <si>
    <t>14290</t>
  </si>
  <si>
    <t>Tilskudd/gaver til andre</t>
  </si>
  <si>
    <t>15700</t>
  </si>
  <si>
    <t>Overføring til investeringsregnskapet (KLP)</t>
  </si>
  <si>
    <t>15900</t>
  </si>
  <si>
    <t>16200</t>
  </si>
  <si>
    <t>Avgiftsfrie inntekter og salgsinntekter</t>
  </si>
  <si>
    <t>17000</t>
  </si>
  <si>
    <t>Refusjon fra staten/statlige institusjoner</t>
  </si>
  <si>
    <t>Refusjon fra rettssubjektet Dnk</t>
  </si>
  <si>
    <t>17100</t>
  </si>
  <si>
    <t>Sykelønnsrefusjon/refusjon fødselspenger</t>
  </si>
  <si>
    <t>17290</t>
  </si>
  <si>
    <t>Kompensasjon mva</t>
  </si>
  <si>
    <t>17500</t>
  </si>
  <si>
    <t>Refusjon fra menighetsråd</t>
  </si>
  <si>
    <t>17700</t>
  </si>
  <si>
    <t>Refusjon fra andre/private</t>
  </si>
  <si>
    <t>17800</t>
  </si>
  <si>
    <t>17900</t>
  </si>
  <si>
    <t>Kalkulatoriske inntekter ved kommunal tjenesteyting</t>
  </si>
  <si>
    <t>18050</t>
  </si>
  <si>
    <t>kr 120.000 fordeles</t>
  </si>
  <si>
    <t>18300</t>
  </si>
  <si>
    <t>Tilskudd fra kommunen/kommunale institusjoner</t>
  </si>
  <si>
    <t>19000</t>
  </si>
  <si>
    <t>19400</t>
  </si>
  <si>
    <t>Bruk av ubundne fond, KLP, lønn</t>
  </si>
  <si>
    <t>19900</t>
  </si>
  <si>
    <t>200</t>
  </si>
  <si>
    <t>Kirker</t>
  </si>
  <si>
    <t>10200</t>
  </si>
  <si>
    <t>Lønn til vikarer</t>
  </si>
  <si>
    <t>Avtalefestede tillegg vikarer</t>
  </si>
  <si>
    <t>Overtidslønn</t>
  </si>
  <si>
    <t>10600</t>
  </si>
  <si>
    <t>Trekkpliktige godtgjørelser</t>
  </si>
  <si>
    <t>Arbeidsklær</t>
  </si>
  <si>
    <t>11650</t>
  </si>
  <si>
    <t>Andre oppl.pl godtgjørelser- selvstendige næringsdrivende/enkeltmannsforetak</t>
  </si>
  <si>
    <t>11800</t>
  </si>
  <si>
    <t>Strøm/energi</t>
  </si>
  <si>
    <t>11900</t>
  </si>
  <si>
    <t>Leie av lokaler og grunn</t>
  </si>
  <si>
    <t>Ettåring, bortfaller</t>
  </si>
  <si>
    <t>12300</t>
  </si>
  <si>
    <t>Vedlikehold og byggtjenester- nybygg</t>
  </si>
  <si>
    <t>Materialer til vedlikehold</t>
  </si>
  <si>
    <t>12600</t>
  </si>
  <si>
    <t>Renholds- vaskeri og vaktmestertjenester</t>
  </si>
  <si>
    <t>12650</t>
  </si>
  <si>
    <t>Vakthold og vektertjenester- alarmsystemer</t>
  </si>
  <si>
    <t>Konsulenter- vikartjeneste- juridisk bistand o.l.</t>
  </si>
  <si>
    <t>Refusjon til kommune</t>
  </si>
  <si>
    <t>14500</t>
  </si>
  <si>
    <t>Tilskudd/gaver til menighetsråd</t>
  </si>
  <si>
    <t>15004</t>
  </si>
  <si>
    <t>Overføring til investeringsregnskapet</t>
  </si>
  <si>
    <t>16000</t>
  </si>
  <si>
    <t>Brukerbetaling for kirkelige tjenester</t>
  </si>
  <si>
    <t>16290</t>
  </si>
  <si>
    <t>Billettinntekter (ikke momspliktige)</t>
  </si>
  <si>
    <t>16300</t>
  </si>
  <si>
    <t>Utleie av lokaler- husleieinntekter</t>
  </si>
  <si>
    <t>Refusjoner fra staten/statlige institusjoner</t>
  </si>
  <si>
    <t>Tilskudd fra staten</t>
  </si>
  <si>
    <t>lønn Elise</t>
  </si>
  <si>
    <t>19050</t>
  </si>
  <si>
    <t>Utbytte og eieruttak</t>
  </si>
  <si>
    <t>Bruk av ubundne fond</t>
  </si>
  <si>
    <t>Bruk av KLP</t>
  </si>
  <si>
    <t>300</t>
  </si>
  <si>
    <t>Gravlund</t>
  </si>
  <si>
    <t>10400</t>
  </si>
  <si>
    <t>Arbeidstøy</t>
  </si>
  <si>
    <t>Personalutgifter</t>
  </si>
  <si>
    <t>Andre opplysningspliktige, ikke trekkpliktige tjenester</t>
  </si>
  <si>
    <t>11701</t>
  </si>
  <si>
    <t>Driftsutgifter til egne/leide transportmidler/maskiner</t>
  </si>
  <si>
    <t>12500</t>
  </si>
  <si>
    <t>12501</t>
  </si>
  <si>
    <t>Materialer til gravstell</t>
  </si>
  <si>
    <t>15000</t>
  </si>
  <si>
    <t>Renteutgifter</t>
  </si>
  <si>
    <t>15100</t>
  </si>
  <si>
    <t>Avdragsutgifter</t>
  </si>
  <si>
    <t>15400</t>
  </si>
  <si>
    <t>Avsetning bundne.fond</t>
  </si>
  <si>
    <t>15800</t>
  </si>
  <si>
    <t>Regnskapsmessig mindreforbruk (overskudd)/udisponert</t>
  </si>
  <si>
    <t>Festeavgifter</t>
  </si>
  <si>
    <t>16500</t>
  </si>
  <si>
    <t>Utenbys gravferder</t>
  </si>
  <si>
    <t>16501</t>
  </si>
  <si>
    <t>Salg gravstell</t>
  </si>
  <si>
    <t>16502</t>
  </si>
  <si>
    <t>Salg gravstell fra legat</t>
  </si>
  <si>
    <t>Refusjon fra NAV</t>
  </si>
  <si>
    <t>Bruk av ubundne fond KLP</t>
  </si>
  <si>
    <t>Gravstellstjenester</t>
  </si>
  <si>
    <t>400</t>
  </si>
  <si>
    <t>Trosopplæring</t>
  </si>
  <si>
    <t>10300</t>
  </si>
  <si>
    <t>Lønn til ekstrahjelp</t>
  </si>
  <si>
    <t>Opplæring og kurs, inkl Slora leir</t>
  </si>
  <si>
    <t>11550</t>
  </si>
  <si>
    <t>Reiseutgifter- opplæring (ikke oppg.pl)</t>
  </si>
  <si>
    <t>13500</t>
  </si>
  <si>
    <t>13800</t>
  </si>
  <si>
    <t>Interne overføringer/adm.gebyr</t>
  </si>
  <si>
    <t>16100</t>
  </si>
  <si>
    <t>refusjon fra menighetsråd</t>
  </si>
  <si>
    <t>18700</t>
  </si>
  <si>
    <t>Tilskudd/gaver fra andre</t>
  </si>
  <si>
    <t>Bruk av ubunde fond KLP,</t>
  </si>
  <si>
    <t>401</t>
  </si>
  <si>
    <t>Lederforum for trosopplæring</t>
  </si>
  <si>
    <t>Annen lønn og trekkpliktig godtgjørelse</t>
  </si>
  <si>
    <t>Påskjønnelser/gaver</t>
  </si>
  <si>
    <t>Kjøp av mat uten mva fradrag</t>
  </si>
  <si>
    <t>Ikke oppgavepliktige reiseutgifter</t>
  </si>
  <si>
    <t xml:space="preserve">Refusjon </t>
  </si>
  <si>
    <t xml:space="preserve">Refusjon fra andre </t>
  </si>
  <si>
    <t>Konfirmanter</t>
  </si>
  <si>
    <t>Aktivitetsrelatert forbruksmateriell/utstyr/tjenester</t>
  </si>
  <si>
    <t>Velferdsutgifter</t>
  </si>
  <si>
    <t>Konfirmantundervisning (leir)</t>
  </si>
  <si>
    <t>Andre oppgavepliktige godtgjørelser - selvstendige næringsdrivende/enkeltmannsforetak</t>
  </si>
  <si>
    <t>Leie , leasing kjøp av transportmidler</t>
  </si>
  <si>
    <t>Dekking av konfirmantavgift for de som ikke kan betale</t>
  </si>
  <si>
    <t>Bruk av ubunde fond</t>
  </si>
  <si>
    <t>Brukerbetaling for ledere</t>
  </si>
  <si>
    <t>Avgiftsfrie inntekter og salgsinntekter (kiosk)</t>
  </si>
  <si>
    <t>Kompenasjon mva</t>
  </si>
  <si>
    <t xml:space="preserve">Refusjon fra fellesråd trosopplæring jfr tidligere praksis </t>
  </si>
  <si>
    <t>Tilskudd fra rettssubjeket Den norske kirke</t>
  </si>
  <si>
    <t xml:space="preserve">Tilskudd gaver fra andre (K-stud) </t>
  </si>
  <si>
    <t>Agio</t>
  </si>
  <si>
    <t xml:space="preserve">Bruk av ubundne fond </t>
  </si>
  <si>
    <t>403</t>
  </si>
  <si>
    <t>Diakoni</t>
  </si>
  <si>
    <t>Kjøp av mat med mva fradrag</t>
  </si>
  <si>
    <t>17050</t>
  </si>
  <si>
    <t>Refusjon fra rettssubjektet Den norske kirke</t>
  </si>
  <si>
    <t xml:space="preserve">Diakoni </t>
  </si>
  <si>
    <t>Tilskudd fra rettsubjektet Den norske kirke</t>
  </si>
  <si>
    <t xml:space="preserve">Tilskudd/gaver fra andre </t>
  </si>
  <si>
    <t>Valg</t>
  </si>
  <si>
    <t>Aktivitertsrelatert forbruksmateriell</t>
  </si>
  <si>
    <t>406</t>
  </si>
  <si>
    <t>Menighetenes barne- og ungdomsarbeid (lønn)10100</t>
  </si>
  <si>
    <t>Menighetenes barne- og ungdomsarbeid (lønn)</t>
  </si>
  <si>
    <t>Menighetenes barne- og ungdomsarbeid</t>
  </si>
  <si>
    <t>Post-banktje  telefon internett</t>
  </si>
  <si>
    <t>Annonser, reklame, informasjon</t>
  </si>
  <si>
    <t>Menighetenes barne- og ungd</t>
  </si>
  <si>
    <t>14400</t>
  </si>
  <si>
    <t>Tilskudd/gaver til fellesråd</t>
  </si>
  <si>
    <t>Menighetenes barne- og ungdomsarbeid (lønn)16100</t>
  </si>
  <si>
    <t>Refusjon fra menighetsråd andre utgifter</t>
  </si>
  <si>
    <t>18000</t>
  </si>
  <si>
    <t>Bruk av ubundne fond, beskrevet i 2020 som netto forbruk</t>
  </si>
  <si>
    <t>Disponering av tidligere års regnskap</t>
  </si>
  <si>
    <t>Dekning av tidl års regnskapsmessige merforbruk</t>
  </si>
  <si>
    <t>259500.010</t>
  </si>
  <si>
    <t>Regnskapsmessig årsforbruk</t>
  </si>
  <si>
    <t>Disp fond konf arbeid</t>
  </si>
  <si>
    <t xml:space="preserve">Disp fond </t>
  </si>
  <si>
    <t>disp fond</t>
  </si>
  <si>
    <t>pensjonsfond</t>
  </si>
  <si>
    <t>Bruk av ubunde fond KLP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</si>
</sst>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0" fillId="0" borderId="0" xfId="0" applyAlignment="1">
      <alignment horizontal="left"/>
    </xf>
    <xf numFmtId="3" fontId="0" fillId="3" borderId="0" xfId="0" applyNumberFormat="1" applyFill="1"/>
    <xf numFmtId="0" fontId="0" fillId="2" borderId="0" xfId="0" applyFill="1" applyAlignment="1">
      <alignment horizontal="left"/>
    </xf>
    <xf numFmtId="0" fontId="3" fillId="0" borderId="0" xfId="0" applyFont="1"/>
    <xf numFmtId="3" fontId="0" fillId="4" borderId="0" xfId="0" applyNumberFormat="1" applyFill="1"/>
    <xf numFmtId="4" fontId="0" fillId="0" borderId="0" xfId="0" applyNumberFormat="1"/>
    <xf numFmtId="0" fontId="0" fillId="6" borderId="0" xfId="0" applyFill="1"/>
    <xf numFmtId="3" fontId="0" fillId="6" borderId="0" xfId="0" applyNumberFormat="1" applyFill="1"/>
    <xf numFmtId="3" fontId="0" fillId="5" borderId="1" xfId="0" applyNumberFormat="1" applyFill="1" applyBorder="1"/>
    <xf numFmtId="0" fontId="0" fillId="7" borderId="0" xfId="0" applyFill="1"/>
    <xf numFmtId="0" fontId="4" fillId="7" borderId="0" xfId="0" applyFont="1" applyFill="1"/>
    <xf numFmtId="0" fontId="5" fillId="0" borderId="1" xfId="0" applyFont="1" applyBorder="1"/>
    <xf numFmtId="0" fontId="6" fillId="0" borderId="1" xfId="0" applyFont="1" applyBorder="1"/>
    <xf numFmtId="1" fontId="0" fillId="2" borderId="0" xfId="0" applyNumberFormat="1" applyFill="1" applyAlignment="1">
      <alignment horizontal="left"/>
    </xf>
    <xf numFmtId="0" fontId="0" fillId="8" borderId="0" xfId="0" applyFill="1"/>
    <xf numFmtId="3" fontId="0" fillId="8" borderId="0" xfId="0" applyNumberFormat="1" applyFill="1"/>
    <xf numFmtId="3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5" fillId="0" borderId="0" xfId="0" applyFont="1"/>
    <xf numFmtId="3" fontId="0" fillId="2" borderId="0" xfId="1" applyNumberFormat="1" applyFont="1" applyFill="1"/>
    <xf numFmtId="0" fontId="0" fillId="0" borderId="3" xfId="0" applyBorder="1"/>
    <xf numFmtId="3" fontId="0" fillId="0" borderId="4" xfId="0" applyNumberFormat="1" applyBorder="1"/>
    <xf numFmtId="0" fontId="0" fillId="0" borderId="2" xfId="0" applyBorder="1"/>
    <xf numFmtId="3" fontId="9" fillId="0" borderId="0" xfId="0" applyNumberFormat="1" applyFont="1"/>
    <xf numFmtId="3" fontId="0" fillId="9" borderId="0" xfId="0" applyNumberFormat="1" applyFill="1"/>
    <xf numFmtId="0" fontId="9" fillId="0" borderId="0" xfId="0" applyFont="1"/>
    <xf numFmtId="0" fontId="9" fillId="0" borderId="0" xfId="0" applyFont="1" applyAlignment="1">
      <alignment horizontal="left"/>
    </xf>
    <xf numFmtId="3" fontId="0" fillId="10" borderId="0" xfId="0" applyNumberFormat="1" applyFill="1"/>
    <xf numFmtId="3" fontId="9" fillId="10" borderId="0" xfId="0" applyNumberFormat="1" applyFont="1" applyFill="1"/>
    <xf numFmtId="3" fontId="0" fillId="11" borderId="0" xfId="0" applyNumberFormat="1" applyFill="1"/>
    <xf numFmtId="0" fontId="0" fillId="12" borderId="0" xfId="0" applyFill="1"/>
    <xf numFmtId="0" fontId="0" fillId="5" borderId="0" xfId="0" applyFill="1"/>
    <xf numFmtId="3" fontId="0" fillId="13" borderId="0" xfId="0" applyNumberFormat="1" applyFill="1"/>
    <xf numFmtId="3" fontId="0" fillId="8" borderId="1" xfId="0" applyNumberFormat="1" applyFill="1" applyBorder="1"/>
    <xf numFmtId="0" fontId="5" fillId="7" borderId="0" xfId="0" applyFont="1" applyFill="1"/>
    <xf numFmtId="3" fontId="3" fillId="0" borderId="0" xfId="0" applyNumberFormat="1" applyFont="1"/>
    <xf numFmtId="3" fontId="7" fillId="0" borderId="0" xfId="0" applyNumberFormat="1" applyFont="1"/>
    <xf numFmtId="1" fontId="0" fillId="0" borderId="0" xfId="0" applyNumberFormat="1"/>
    <xf numFmtId="4" fontId="0" fillId="2" borderId="0" xfId="0" applyNumberFormat="1" applyFill="1"/>
    <xf numFmtId="0" fontId="6" fillId="7" borderId="0" xfId="0" applyFont="1" applyFill="1"/>
    <xf numFmtId="0" fontId="0" fillId="14" borderId="0" xfId="0" applyFill="1"/>
    <xf numFmtId="0" fontId="6" fillId="0" borderId="0" xfId="0" applyFont="1"/>
    <xf numFmtId="0" fontId="0" fillId="0" borderId="1" xfId="0" applyBorder="1"/>
    <xf numFmtId="0" fontId="8" fillId="8" borderId="0" xfId="0" applyFont="1" applyFill="1"/>
    <xf numFmtId="0" fontId="1" fillId="0" borderId="0" xfId="0" applyFont="1"/>
    <xf numFmtId="0" fontId="0" fillId="5" borderId="1" xfId="0" applyFill="1" applyBorder="1"/>
    <xf numFmtId="3" fontId="0" fillId="5" borderId="0" xfId="0" applyNumberForma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F902-36EE-4902-8159-DBD649C834EE}">
  <sheetPr>
    <pageSetUpPr fitToPage="1"/>
  </sheetPr>
  <dimension ref="A1:I211"/>
  <sheetViews>
    <sheetView tabSelected="1" topLeftCell="D1" zoomScale="160" zoomScaleNormal="160" workbookViewId="0">
      <pane ySplit="1" topLeftCell="A2" activePane="bottomLeft" state="frozen"/>
      <selection pane="bottomLeft" activeCell="G208" sqref="G208"/>
    </sheetView>
  </sheetViews>
  <sheetFormatPr baseColWidth="10" defaultColWidth="11.4609375" defaultRowHeight="14.6" x14ac:dyDescent="0.4"/>
  <cols>
    <col min="1" max="1" width="45.84375" customWidth="1"/>
    <col min="2" max="2" width="33.84375" hidden="1" customWidth="1"/>
    <col min="3" max="4" width="22.4609375" customWidth="1"/>
    <col min="5" max="5" width="26" customWidth="1"/>
    <col min="6" max="6" width="25.4609375" customWidth="1"/>
    <col min="7" max="7" width="21.23046875" customWidth="1"/>
  </cols>
  <sheetData>
    <row r="1" spans="1:7" ht="15.9" x14ac:dyDescent="0.45">
      <c r="A1" s="13"/>
      <c r="B1" s="14" t="s">
        <v>0</v>
      </c>
      <c r="C1" s="14" t="s">
        <v>1</v>
      </c>
      <c r="D1" s="14" t="s">
        <v>2</v>
      </c>
      <c r="E1" s="39" t="s">
        <v>3</v>
      </c>
      <c r="F1" s="44" t="s">
        <v>4</v>
      </c>
      <c r="G1" s="44" t="s">
        <v>5</v>
      </c>
    </row>
    <row r="2" spans="1:7" x14ac:dyDescent="0.4">
      <c r="A2" s="10" t="s">
        <v>6</v>
      </c>
      <c r="B2" s="10"/>
      <c r="C2" s="11"/>
      <c r="D2" s="11"/>
      <c r="E2" s="10"/>
      <c r="F2" s="10"/>
      <c r="G2" s="10"/>
    </row>
    <row r="3" spans="1:7" x14ac:dyDescent="0.4">
      <c r="A3" t="s">
        <v>7</v>
      </c>
      <c r="B3" s="1">
        <f>+Konto!O2+Konto!O3+Konto!O4+Konto!O5+Konto!O6+Konto!O7+Konto!O8+Konto!O9</f>
        <v>2921950</v>
      </c>
      <c r="C3" s="1">
        <f>+Konto!S2+Konto!S6+Konto!S7+Konto!S8+Konto!S9</f>
        <v>2175000</v>
      </c>
      <c r="D3" s="1">
        <f>+Konto!T2+Konto!T3+Konto!T4+Konto!T5+Konto!T6+Konto!T7+Konto!T8+Konto!T9</f>
        <v>2200000</v>
      </c>
      <c r="E3" s="1">
        <f>+Konto!U2+Konto!U3+Konto!U4+Konto!U5+Konto!U6+Konto!U7+Konto!U8+Konto!U9</f>
        <v>2458650</v>
      </c>
      <c r="F3" s="1">
        <f>+Konto!V2+Konto!V3+Konto!V4+Konto!V5+Konto!V6+Konto!V7+Konto!V8+Konto!V9</f>
        <v>1503048</v>
      </c>
      <c r="G3" s="1">
        <f>+Konto!W2+Konto!W3+Konto!W4+Konto!W5+Konto!W6+Konto!W7+Konto!W8+Konto!W9</f>
        <v>2543650</v>
      </c>
    </row>
    <row r="4" spans="1:7" x14ac:dyDescent="0.4">
      <c r="A4" t="s">
        <v>8</v>
      </c>
      <c r="B4" s="1">
        <f>+Konto!O10+Konto!O11+Konto!O12+Konto!O13+Konto!O14+Konto!O15+Konto!O16+Konto!O18+Konto!O20+Konto!O21+Konto!O22+Konto!O24+Konto!O25+Konto!O26+Konto!O27+Konto!O28+Konto!O29+Konto!O30+Konto!O31+Konto!O32</f>
        <v>2295531</v>
      </c>
      <c r="C4" s="1">
        <f>+Konto!S10+Konto!S11+Konto!S12+Konto!S13+Konto!S14+Konto!S15+Konto!S16+Konto!S18+Konto!S19+Konto!S20+Konto!S21+Konto!S22+Konto!S23+Konto!S24+Konto!S25+Konto!S26+Konto!S27+Konto!S28+Konto!S29+Konto!S30+Konto!S31+Konto!S32</f>
        <v>2095000</v>
      </c>
      <c r="D4" s="1">
        <f>Konto!T10+Konto!T11+Konto!T12+Konto!T13+Konto!T14+Konto!T15+Konto!T16+Konto!T18+Konto!T19+Konto!T20+Konto!T21+Konto!T22+Konto!T23+Konto!T24+Konto!T25+Konto!T26+Konto!T27+Konto!T28+Konto!T29+Konto!T30+Konto!T31+Konto!T32+Konto!T37</f>
        <v>2349000</v>
      </c>
      <c r="E4" s="1">
        <f>+Konto!U10+Konto!U11+Konto!U12+Konto!U13+Konto!U14+Konto!U15+Konto!U16+Konto!U17+Konto!U18+Konto!U19+Konto!U20+Konto!U21+Konto!U22+Konto!U23+Konto!U24+Konto!U25+Konto!U26+Konto!U27+Konto!U28+Konto!U29+Konto!U30+Konto!U31+Konto!U32</f>
        <v>1737500</v>
      </c>
      <c r="F4" s="1">
        <f>+Konto!V10+Konto!V11+Konto!V12+Konto!V13+Konto!V14+Konto!V15+Konto!V16+Konto!V17+Konto!V18+Konto!V19+Konto!V20+Konto!V21+Konto!V22+Konto!V23+Konto!V24+Konto!V25+Konto!V26+Konto!V27+Konto!V28+Konto!V29+Konto!V30+Konto!V31+Konto!V32</f>
        <v>1287678</v>
      </c>
      <c r="G4" s="1">
        <f>+Konto!W10+Konto!W11+Konto!W12+Konto!W13+Konto!W14+Konto!W15+Konto!W16+Konto!W17+Konto!W18+Konto!W19+Konto!W20+Konto!W21+Konto!W22+Konto!W23+Konto!W24+Konto!W25+Konto!W26+Konto!W27+Konto!W28+Konto!W29+Konto!W30+Konto!W31+Konto!W32</f>
        <v>1836000</v>
      </c>
    </row>
    <row r="5" spans="1:7" x14ac:dyDescent="0.4">
      <c r="A5" t="s">
        <v>9</v>
      </c>
      <c r="B5" s="1">
        <f>+Konto!O33</f>
        <v>1390000</v>
      </c>
      <c r="C5" s="1">
        <f>+Konto!S33</f>
        <v>380000</v>
      </c>
      <c r="D5" s="1">
        <f>Konto!T33</f>
        <v>380000</v>
      </c>
      <c r="E5" s="1">
        <f>+Konto!U33</f>
        <v>420000</v>
      </c>
      <c r="F5" s="1">
        <f>+Konto!V33</f>
        <v>0</v>
      </c>
      <c r="G5" s="1">
        <f>+Konto!W33</f>
        <v>420000</v>
      </c>
    </row>
    <row r="6" spans="1:7" x14ac:dyDescent="0.4">
      <c r="A6" t="s">
        <v>10</v>
      </c>
      <c r="B6" s="1"/>
      <c r="C6" s="1"/>
      <c r="D6" s="1">
        <f>Konto!T34</f>
        <v>29000</v>
      </c>
      <c r="E6" s="1"/>
      <c r="F6" s="1"/>
      <c r="G6" s="1"/>
    </row>
    <row r="7" spans="1:7" x14ac:dyDescent="0.4">
      <c r="A7" t="s">
        <v>11</v>
      </c>
      <c r="B7" s="1">
        <f>+Konto!O36</f>
        <v>441507</v>
      </c>
      <c r="C7" s="1">
        <f>+Konto!S36</f>
        <v>425000</v>
      </c>
      <c r="D7" s="1">
        <f>+Konto!T36</f>
        <v>425000</v>
      </c>
      <c r="E7" s="1">
        <f>+Konto!U36+Ansvar!R42</f>
        <v>750000</v>
      </c>
      <c r="F7" s="1">
        <f>+Konto!V36+Ansvar!S42</f>
        <v>225897</v>
      </c>
      <c r="G7" s="1">
        <f>+Konto!W36+Ansvar!T42</f>
        <v>550000</v>
      </c>
    </row>
    <row r="8" spans="1:7" x14ac:dyDescent="0.4">
      <c r="A8" t="s">
        <v>12</v>
      </c>
      <c r="B8" s="1"/>
      <c r="C8" s="1">
        <f>+Konto!S38</f>
        <v>0</v>
      </c>
      <c r="D8" s="1"/>
      <c r="E8" s="1">
        <f>+Konto!U38</f>
        <v>0</v>
      </c>
      <c r="F8" s="1">
        <f>+Konto!V38</f>
        <v>0</v>
      </c>
      <c r="G8" s="1">
        <f>+Konto!W38</f>
        <v>99750</v>
      </c>
    </row>
    <row r="9" spans="1:7" x14ac:dyDescent="0.4">
      <c r="A9" t="s">
        <v>13</v>
      </c>
      <c r="B9" s="1">
        <f>+Konto!O39+Konto!O40</f>
        <v>194877</v>
      </c>
      <c r="C9" s="1">
        <f>+Konto!S39+Konto!S40</f>
        <v>100000</v>
      </c>
      <c r="D9" s="1">
        <f>+Konto!T39+Konto!T40</f>
        <v>100000</v>
      </c>
      <c r="E9" s="1">
        <f>+Konto!U39+Konto!U40</f>
        <v>100000</v>
      </c>
      <c r="F9" s="1">
        <f>+Konto!V39+Konto!V40</f>
        <v>122591</v>
      </c>
      <c r="G9" s="1">
        <f>+Konto!W39+Konto!W40</f>
        <v>225000</v>
      </c>
    </row>
    <row r="10" spans="1:7" x14ac:dyDescent="0.4">
      <c r="A10" s="15" t="s">
        <v>14</v>
      </c>
      <c r="B10" s="12">
        <f t="shared" ref="B10:G10" si="0">SUM(B3:B9)</f>
        <v>7243865</v>
      </c>
      <c r="C10" s="12">
        <f t="shared" si="0"/>
        <v>5175000</v>
      </c>
      <c r="D10" s="12">
        <f t="shared" si="0"/>
        <v>5483000</v>
      </c>
      <c r="E10" s="12">
        <f t="shared" si="0"/>
        <v>5466150</v>
      </c>
      <c r="F10" s="12">
        <f t="shared" si="0"/>
        <v>3139214</v>
      </c>
      <c r="G10" s="12">
        <f t="shared" si="0"/>
        <v>5674400</v>
      </c>
    </row>
    <row r="12" spans="1:7" x14ac:dyDescent="0.4">
      <c r="A12" t="s">
        <v>15</v>
      </c>
      <c r="B12" s="1">
        <f>+Konto!O43</f>
        <v>-87659</v>
      </c>
      <c r="C12" s="1">
        <f>+Konto!S43+Konto!S44+Konto!S46</f>
        <v>0</v>
      </c>
      <c r="D12" s="1"/>
      <c r="E12" s="1">
        <f>+Konto!U43+Konto!U44+Konto!U46</f>
        <v>0</v>
      </c>
      <c r="F12" s="1">
        <f>+Konto!V43+Konto!V44+Konto!V46</f>
        <v>-24698</v>
      </c>
      <c r="G12" s="1">
        <f>+Konto!W43+Konto!W44+Konto!W46</f>
        <v>-25000</v>
      </c>
    </row>
    <row r="13" spans="1:7" x14ac:dyDescent="0.4">
      <c r="A13" t="s">
        <v>16</v>
      </c>
      <c r="B13" s="1">
        <f>+Konto!O44+Konto!O46</f>
        <v>-346101</v>
      </c>
      <c r="C13" s="1"/>
      <c r="D13" s="1">
        <f>Konto!T46</f>
        <v>-7000</v>
      </c>
      <c r="E13" s="1"/>
      <c r="F13" s="1"/>
      <c r="G13" s="1"/>
    </row>
    <row r="14" spans="1:7" x14ac:dyDescent="0.4">
      <c r="A14" t="s">
        <v>17</v>
      </c>
      <c r="B14" s="1"/>
      <c r="C14" s="1"/>
      <c r="D14" s="1"/>
      <c r="E14" s="1">
        <f>Konto!U45</f>
        <v>0</v>
      </c>
      <c r="F14" s="1">
        <f>Konto!V45</f>
        <v>-101733</v>
      </c>
      <c r="G14" s="1">
        <f>Konto!W45</f>
        <v>-150000</v>
      </c>
    </row>
    <row r="15" spans="1:7" x14ac:dyDescent="0.4">
      <c r="A15" t="s">
        <v>18</v>
      </c>
      <c r="B15" s="1">
        <f>+Konto!O48+Konto!O49</f>
        <v>-14120</v>
      </c>
      <c r="C15" s="1"/>
      <c r="D15" s="1">
        <f>Konto!T49</f>
        <v>0</v>
      </c>
      <c r="E15" s="1">
        <f>Konto!U49</f>
        <v>0</v>
      </c>
      <c r="F15" s="1">
        <f>Konto!V49</f>
        <v>-272</v>
      </c>
      <c r="G15" s="1">
        <f>Konto!W49</f>
        <v>-500</v>
      </c>
    </row>
    <row r="16" spans="1:7" x14ac:dyDescent="0.4">
      <c r="A16" t="s">
        <v>11</v>
      </c>
      <c r="B16" s="1">
        <f>+Konto!O47</f>
        <v>-441507</v>
      </c>
      <c r="C16" s="1">
        <f>+Konto!S47</f>
        <v>-425000</v>
      </c>
      <c r="D16" s="1">
        <f>+Konto!T47</f>
        <v>-425000</v>
      </c>
      <c r="E16" s="1">
        <f>+Konto!U47</f>
        <v>-750000</v>
      </c>
      <c r="F16" s="1">
        <f>+Konto!V47</f>
        <v>-225897</v>
      </c>
      <c r="G16" s="1">
        <f>+Konto!W47</f>
        <v>-550000</v>
      </c>
    </row>
    <row r="17" spans="1:7" x14ac:dyDescent="0.4">
      <c r="A17" t="s">
        <v>19</v>
      </c>
      <c r="B17" s="1">
        <f>+Konto!O50</f>
        <v>-99000</v>
      </c>
      <c r="C17" s="1">
        <f>+Konto!S50</f>
        <v>-100000</v>
      </c>
      <c r="D17" s="1">
        <f>+Konto!T50</f>
        <v>-100000</v>
      </c>
      <c r="E17" s="1">
        <f>+Konto!U50</f>
        <v>-125000</v>
      </c>
      <c r="F17" s="1">
        <f>+Konto!V50</f>
        <v>-125000</v>
      </c>
      <c r="G17" s="1">
        <f>+Konto!W50</f>
        <v>-125000</v>
      </c>
    </row>
    <row r="18" spans="1:7" x14ac:dyDescent="0.4">
      <c r="A18" t="s">
        <v>20</v>
      </c>
      <c r="B18" s="1"/>
      <c r="C18" s="1"/>
      <c r="D18" s="1">
        <f>Konto!T52</f>
        <v>-26500</v>
      </c>
      <c r="E18" s="1"/>
      <c r="F18" s="1"/>
      <c r="G18" s="1"/>
    </row>
    <row r="19" spans="1:7" x14ac:dyDescent="0.4">
      <c r="A19" t="s">
        <v>21</v>
      </c>
      <c r="B19" s="1">
        <f>+Konto!O53</f>
        <v>-150000</v>
      </c>
      <c r="C19" s="1">
        <f>+Konto!S53</f>
        <v>-150000</v>
      </c>
      <c r="D19" s="1">
        <f>+Konto!T53</f>
        <v>-190000</v>
      </c>
      <c r="E19" s="1">
        <f>+Konto!U53</f>
        <v>-220000</v>
      </c>
      <c r="F19" s="1">
        <f>+Konto!V53</f>
        <v>0</v>
      </c>
      <c r="G19" s="1">
        <f>+Konto!W53</f>
        <v>0</v>
      </c>
    </row>
    <row r="20" spans="1:7" x14ac:dyDescent="0.4">
      <c r="A20" t="s">
        <v>22</v>
      </c>
      <c r="B20" s="1">
        <f>+Konto!O54</f>
        <v>-5259970</v>
      </c>
      <c r="C20" s="1">
        <f>+Konto!S54</f>
        <v>-3988500</v>
      </c>
      <c r="D20" s="1">
        <f>+Konto!T54</f>
        <v>-3988500</v>
      </c>
      <c r="E20" s="1">
        <f>+Konto!U54</f>
        <v>-3633000</v>
      </c>
      <c r="F20" s="1">
        <f>+Konto!V54</f>
        <v>-3648800</v>
      </c>
      <c r="G20" s="1">
        <f>+Konto!W54</f>
        <v>-3648800</v>
      </c>
    </row>
    <row r="21" spans="1:7" x14ac:dyDescent="0.4">
      <c r="A21" t="s">
        <v>23</v>
      </c>
      <c r="B21" s="1">
        <f>+Konto!O55</f>
        <v>-118711</v>
      </c>
      <c r="C21" s="1">
        <f>+Konto!S55</f>
        <v>-150000</v>
      </c>
      <c r="D21" s="1">
        <f>+Konto!T55</f>
        <v>-450000</v>
      </c>
      <c r="E21" s="1">
        <f>+Konto!U55</f>
        <v>-700000</v>
      </c>
      <c r="F21" s="1">
        <f>+Konto!V55</f>
        <v>-1111026</v>
      </c>
      <c r="G21" s="1">
        <f>+Konto!W55</f>
        <v>-1200000</v>
      </c>
    </row>
    <row r="22" spans="1:7" x14ac:dyDescent="0.4">
      <c r="A22" t="s">
        <v>24</v>
      </c>
      <c r="B22" s="1"/>
      <c r="C22" s="1">
        <f>+Konto!S56</f>
        <v>-249000</v>
      </c>
      <c r="D22" s="1">
        <f>+Konto!T56</f>
        <v>-249000</v>
      </c>
      <c r="E22" s="1">
        <f>+Konto!U56</f>
        <v>-58850</v>
      </c>
      <c r="F22" s="1">
        <f>+Konto!V56</f>
        <v>0</v>
      </c>
      <c r="G22" s="1">
        <f>+Konto!W56</f>
        <v>0</v>
      </c>
    </row>
    <row r="23" spans="1:7" x14ac:dyDescent="0.4">
      <c r="A23" t="s">
        <v>25</v>
      </c>
      <c r="B23" s="1">
        <f>+Konto!O57</f>
        <v>-84486</v>
      </c>
      <c r="C23" s="1">
        <f>+Konto!S57</f>
        <v>-100000</v>
      </c>
      <c r="D23" s="1">
        <f>+Konto!T57</f>
        <v>-100000</v>
      </c>
      <c r="E23" s="1">
        <f>+Konto!U57</f>
        <v>-100000</v>
      </c>
      <c r="F23" s="1">
        <f>+Konto!V57</f>
        <v>0</v>
      </c>
      <c r="G23" s="1">
        <f>+Konto!W57</f>
        <v>-100000</v>
      </c>
    </row>
    <row r="24" spans="1:7" x14ac:dyDescent="0.4">
      <c r="A24" s="16" t="s">
        <v>26</v>
      </c>
      <c r="B24" s="12">
        <f t="shared" ref="B24:G24" si="1">SUM(B12:B23)</f>
        <v>-6601554</v>
      </c>
      <c r="C24" s="12">
        <f t="shared" si="1"/>
        <v>-5162500</v>
      </c>
      <c r="D24" s="12">
        <f t="shared" si="1"/>
        <v>-5536000</v>
      </c>
      <c r="E24" s="12">
        <f t="shared" si="1"/>
        <v>-5586850</v>
      </c>
      <c r="F24" s="12">
        <f t="shared" si="1"/>
        <v>-5237426</v>
      </c>
      <c r="G24" s="12">
        <f t="shared" si="1"/>
        <v>-5799300</v>
      </c>
    </row>
    <row r="25" spans="1:7" x14ac:dyDescent="0.4">
      <c r="A25" s="18" t="s">
        <v>27</v>
      </c>
      <c r="B25" s="19">
        <f t="shared" ref="B25:G25" si="2">SUM(B10+B24)</f>
        <v>642311</v>
      </c>
      <c r="C25" s="19">
        <f t="shared" si="2"/>
        <v>12500</v>
      </c>
      <c r="D25" s="19">
        <f t="shared" si="2"/>
        <v>-53000</v>
      </c>
      <c r="E25" s="19">
        <f t="shared" si="2"/>
        <v>-120700</v>
      </c>
      <c r="F25" s="19">
        <f t="shared" si="2"/>
        <v>-2098212</v>
      </c>
      <c r="G25" s="19">
        <f t="shared" si="2"/>
        <v>-124900</v>
      </c>
    </row>
    <row r="26" spans="1:7" x14ac:dyDescent="0.4">
      <c r="E26" s="1"/>
      <c r="F26" s="1"/>
      <c r="G26" s="1"/>
    </row>
    <row r="27" spans="1:7" x14ac:dyDescent="0.4">
      <c r="A27" s="10" t="s">
        <v>28</v>
      </c>
      <c r="B27" s="10"/>
      <c r="C27" s="10"/>
      <c r="D27" s="10"/>
      <c r="E27" s="11"/>
      <c r="F27" s="11"/>
      <c r="G27" s="11"/>
    </row>
    <row r="28" spans="1:7" x14ac:dyDescent="0.4">
      <c r="A28" t="s">
        <v>7</v>
      </c>
      <c r="B28" s="1">
        <f>+Konto!O61+Konto!O62+Konto!O64+Konto!O67+Konto!O68+Konto!O69+Konto!O70+Konto!O71</f>
        <v>9691421</v>
      </c>
      <c r="C28" s="1">
        <f>+Konto!S61+Konto!S62+Konto!S64+Konto!S67+Konto!S68+Konto!S69+Konto!S70+Konto!S71</f>
        <v>13250000</v>
      </c>
      <c r="D28" s="1">
        <f>+Konto!T61+Konto!T62+Konto!T64+Konto!T67+Konto!T68+Konto!T69+Konto!T70+Konto!T71</f>
        <v>13150000</v>
      </c>
      <c r="E28" s="1">
        <f>+Konto!U61+Konto!U62+Konto!U64+Konto!U67+Konto!U68+Konto!U69+Konto!U70+Konto!U71</f>
        <v>13308700</v>
      </c>
      <c r="F28" s="1">
        <f>+Konto!V61+Konto!V62+Konto!V63+Konto!V64+Konto!V65+Konto!V66+Konto!V67+Konto!V68+Konto!V69+Konto!V70+Konto!V71</f>
        <v>8429986</v>
      </c>
      <c r="G28" s="1">
        <f>+Konto!W61+Konto!W62+Konto!W63+Konto!W64+Konto!W65+Konto!W66+Konto!W67+Konto!W68+Konto!W69+Konto!W70+Konto!W71</f>
        <v>13756700</v>
      </c>
    </row>
    <row r="29" spans="1:7" x14ac:dyDescent="0.4">
      <c r="A29" t="s">
        <v>29</v>
      </c>
      <c r="B29" s="1">
        <f>+Konto!O72+Konto!O73+Konto!O75+Konto!O76+Konto!O77+Konto!O78+Konto!O79+Konto!O80+Konto!O81+Konto!O82+Konto!O83+Konto!O84+Konto!O85+Konto!O86+Konto!O87+Konto!O88+Konto!O89+Konto!O90+Konto!O91+Konto!O92+Konto!O93+Konto!O94+Konto!O95</f>
        <v>3341303</v>
      </c>
      <c r="C29" s="1">
        <f>Konto!S72+Konto!S73+Konto!S77+Konto!S78+Konto!S79+Konto!S80+Konto!S81+Konto!S82+Konto!S83+Konto!S84+Konto!S86+Konto!S87+Konto!S88+Konto!S89+Konto!S90+Konto!S91+Konto!S92+Konto!S93+Konto!S94+Konto!S95</f>
        <v>2603000</v>
      </c>
      <c r="D29" s="1">
        <f>Konto!T72+Konto!T73+Konto!T74+Konto!T75+Konto!T76+Konto!T77+Konto!T78+Konto!T79+Konto!T80+Konto!T81+Konto!T82+Konto!T83+Konto!T84+Konto!T86+Konto!T87+Konto!T88+Konto!T89+Konto!T90+Konto!T91+Konto!T92+Konto!T93+Konto!T94+Konto!T95</f>
        <v>4267250</v>
      </c>
      <c r="E29" s="1">
        <f>Konto!U72+Konto!U73+Konto!U77+Konto!U78+Konto!U79+Konto!U80+Konto!U81+Konto!U82+Konto!U83+Konto!U84+Konto!U86+Konto!U87+Konto!U88+Konto!U89+Konto!U90+Konto!U91+Konto!U92+Konto!U93+Konto!U94+Konto!U95</f>
        <v>3381000</v>
      </c>
      <c r="F29" s="1">
        <f>Konto!V72+Konto!V73+Konto!V74+Konto!V75+Konto!V76+Konto!V77+Konto!V78+Konto!V79+Konto!V80+Konto!V81+Konto!V82+Konto!V83+Konto!V84+Konto!V86+Konto!V87+Konto!V88+Konto!V89+Konto!V90+Konto!V91+Konto!V92+Konto!V93+Konto!V94+Konto!V95</f>
        <v>2490566</v>
      </c>
      <c r="G29" s="1">
        <f>Konto!W72+Konto!W73+Konto!W74+Konto!W75+Konto!W76+Konto!W77+Konto!W78+Konto!W79+Konto!W80+Konto!W81+Konto!W82+Konto!W83+Konto!W84+Konto!W86+Konto!W87+Konto!W88+Konto!W89+Konto!W90+Konto!W91+Konto!W92+Konto!W93+Konto!W94+Konto!W95</f>
        <v>3373200</v>
      </c>
    </row>
    <row r="30" spans="1:7" x14ac:dyDescent="0.4">
      <c r="A30" t="s">
        <v>30</v>
      </c>
      <c r="B30" s="1"/>
      <c r="C30" s="1">
        <f>+Konto!S96</f>
        <v>420000</v>
      </c>
      <c r="D30" s="1">
        <f>+Konto!T96</f>
        <v>420000</v>
      </c>
      <c r="E30" s="1">
        <f>+Konto!U96</f>
        <v>450000</v>
      </c>
      <c r="F30" s="1">
        <f>+Konto!V96</f>
        <v>0</v>
      </c>
      <c r="G30" s="1">
        <f>+Konto!W96</f>
        <v>450000</v>
      </c>
    </row>
    <row r="31" spans="1:7" x14ac:dyDescent="0.4">
      <c r="A31" t="s">
        <v>11</v>
      </c>
      <c r="B31" s="1">
        <f>+Konto!O97</f>
        <v>606192</v>
      </c>
      <c r="C31" s="1">
        <f>+Konto!S97</f>
        <v>700000</v>
      </c>
      <c r="D31" s="1">
        <f>+Konto!T97</f>
        <v>700000</v>
      </c>
      <c r="E31" s="1">
        <f>+Konto!U97</f>
        <v>700000</v>
      </c>
      <c r="F31" s="1">
        <f>+Konto!V97</f>
        <v>588990</v>
      </c>
      <c r="G31" s="1">
        <f>+Konto!W97</f>
        <v>700000</v>
      </c>
    </row>
    <row r="32" spans="1:7" x14ac:dyDescent="0.4">
      <c r="A32" t="s">
        <v>31</v>
      </c>
      <c r="B32" s="1">
        <f>+Konto!O98</f>
        <v>380000</v>
      </c>
      <c r="C32" s="1">
        <f>+Konto!S98</f>
        <v>380000</v>
      </c>
      <c r="D32" s="1">
        <f>+Konto!T98</f>
        <v>380000</v>
      </c>
      <c r="E32" s="1">
        <f>+Konto!U98</f>
        <v>380000</v>
      </c>
      <c r="F32" s="1">
        <f>+Konto!V98</f>
        <v>0</v>
      </c>
      <c r="G32" s="1">
        <f>+Konto!W98</f>
        <v>380000</v>
      </c>
    </row>
    <row r="33" spans="1:7" x14ac:dyDescent="0.4">
      <c r="A33" t="s">
        <v>32</v>
      </c>
      <c r="B33" s="1">
        <f>+Konto!O100</f>
        <v>3316</v>
      </c>
      <c r="C33" s="1">
        <f>+Konto!S100</f>
        <v>3000</v>
      </c>
      <c r="D33" s="1">
        <f>+Konto!T100</f>
        <v>3000</v>
      </c>
      <c r="E33" s="1">
        <f>+Konto!U100</f>
        <v>3000</v>
      </c>
      <c r="F33" s="1">
        <f>+Konto!V100</f>
        <v>0</v>
      </c>
      <c r="G33" s="1">
        <f>+Konto!W100</f>
        <v>0</v>
      </c>
    </row>
    <row r="34" spans="1:7" x14ac:dyDescent="0.4">
      <c r="A34" t="s">
        <v>33</v>
      </c>
      <c r="B34" s="1">
        <f>+Konto!O102</f>
        <v>269729</v>
      </c>
      <c r="C34" s="1"/>
      <c r="D34" s="1">
        <f>Konto!T1017</f>
        <v>0</v>
      </c>
      <c r="E34" s="1"/>
      <c r="F34" s="1"/>
      <c r="G34" s="1"/>
    </row>
    <row r="35" spans="1:7" x14ac:dyDescent="0.4">
      <c r="A35" t="s">
        <v>34</v>
      </c>
      <c r="B35" s="1"/>
      <c r="C35" s="1"/>
      <c r="D35" s="1">
        <f>Konto!T102</f>
        <v>500000</v>
      </c>
      <c r="E35" s="1"/>
      <c r="F35" s="1"/>
      <c r="G35" s="1"/>
    </row>
    <row r="36" spans="1:7" x14ac:dyDescent="0.4">
      <c r="A36" t="s">
        <v>35</v>
      </c>
      <c r="B36" s="1">
        <f>+Konto!O103</f>
        <v>3496672</v>
      </c>
      <c r="C36" s="1">
        <f>+Konto!S103</f>
        <v>4000000</v>
      </c>
      <c r="D36" s="1">
        <f>+Konto!T103</f>
        <v>4000000</v>
      </c>
      <c r="E36" s="1">
        <f>+Konto!U103</f>
        <v>3500000</v>
      </c>
      <c r="F36" s="1">
        <f>+Konto!V103</f>
        <v>0</v>
      </c>
      <c r="G36" s="1">
        <f>+Konto!W103</f>
        <v>3500000</v>
      </c>
    </row>
    <row r="37" spans="1:7" x14ac:dyDescent="0.4">
      <c r="A37" s="16" t="s">
        <v>14</v>
      </c>
      <c r="B37" s="12">
        <f t="shared" ref="B37:G37" si="3">SUM(B28:B36)</f>
        <v>17788633</v>
      </c>
      <c r="C37" s="12">
        <f t="shared" si="3"/>
        <v>21356000</v>
      </c>
      <c r="D37" s="12">
        <f t="shared" si="3"/>
        <v>23420250</v>
      </c>
      <c r="E37" s="12">
        <f t="shared" si="3"/>
        <v>21722700</v>
      </c>
      <c r="F37" s="12">
        <f t="shared" si="3"/>
        <v>11509542</v>
      </c>
      <c r="G37" s="12">
        <f t="shared" si="3"/>
        <v>22159900</v>
      </c>
    </row>
    <row r="40" spans="1:7" x14ac:dyDescent="0.4">
      <c r="A40" t="s">
        <v>36</v>
      </c>
      <c r="B40" s="1">
        <f>+Konto!O107+Konto!O108+Konto!O109+Konto!O110</f>
        <v>-645387</v>
      </c>
      <c r="C40" s="1">
        <f>+Konto!S107+Konto!S108+Konto!S109+Konto!S110</f>
        <v>-710000</v>
      </c>
      <c r="D40" s="1">
        <f>+Konto!T107+Konto!T108+Konto!T109+Konto!T110</f>
        <v>-700000</v>
      </c>
      <c r="E40" s="1">
        <f>+Konto!U107+Konto!U108+Konto!U109+Konto!U110</f>
        <v>-800000</v>
      </c>
      <c r="F40" s="1">
        <f>+Konto!V107+Konto!V108+Konto!V109+Konto!V110</f>
        <v>-467215</v>
      </c>
      <c r="G40" s="1">
        <f>+Konto!W107+Konto!W108+Konto!W109+Konto!W110</f>
        <v>-730000</v>
      </c>
    </row>
    <row r="41" spans="1:7" x14ac:dyDescent="0.4">
      <c r="A41" t="s">
        <v>11</v>
      </c>
      <c r="B41" s="1">
        <f>+Konto!O113</f>
        <v>-606195</v>
      </c>
      <c r="C41" s="1">
        <f>+Konto!S113</f>
        <v>-700000</v>
      </c>
      <c r="D41" s="1">
        <f>+Konto!T113</f>
        <v>-700000</v>
      </c>
      <c r="E41" s="1">
        <f>+Konto!U113</f>
        <v>-700000</v>
      </c>
      <c r="F41" s="1">
        <f>+Konto!V113</f>
        <v>-588990</v>
      </c>
      <c r="G41" s="1">
        <f>+Konto!W113</f>
        <v>-700000</v>
      </c>
    </row>
    <row r="42" spans="1:7" x14ac:dyDescent="0.4">
      <c r="A42" t="s">
        <v>37</v>
      </c>
      <c r="B42" s="1">
        <f>+Konto!O112+Konto!O114+Konto!O115</f>
        <v>-659085</v>
      </c>
      <c r="C42" s="1">
        <f>+Konto!S115+Konto!S114</f>
        <v>-10000</v>
      </c>
      <c r="D42" s="1">
        <f>+Konto!T115+Konto!T114</f>
        <v>-210000</v>
      </c>
      <c r="E42" s="1">
        <f>+Konto!U115+Konto!U114</f>
        <v>-205000</v>
      </c>
      <c r="F42" s="1">
        <f>+Konto!V115+Konto!V114</f>
        <v>-179205</v>
      </c>
      <c r="G42" s="1">
        <f>+Konto!W115+Konto!W114</f>
        <v>-530000</v>
      </c>
    </row>
    <row r="43" spans="1:7" x14ac:dyDescent="0.4">
      <c r="A43" t="s">
        <v>38</v>
      </c>
      <c r="B43" s="1"/>
      <c r="C43" s="1">
        <f>Konto!S112</f>
        <v>-265000</v>
      </c>
      <c r="D43" s="1">
        <f>Konto!T112</f>
        <v>-265000</v>
      </c>
      <c r="E43" s="1">
        <f>Konto!U112</f>
        <v>0</v>
      </c>
      <c r="F43" s="1">
        <f>Konto!V112</f>
        <v>27947</v>
      </c>
      <c r="G43" s="1">
        <f>Konto!W112</f>
        <v>-30000</v>
      </c>
    </row>
    <row r="44" spans="1:7" x14ac:dyDescent="0.4">
      <c r="A44" t="s">
        <v>39</v>
      </c>
      <c r="B44" s="1"/>
      <c r="C44" s="1"/>
      <c r="D44" s="1">
        <f>Konto!T117</f>
        <v>-315000</v>
      </c>
      <c r="E44" s="1">
        <f>Konto!U111+Konto!U117</f>
        <v>-315000</v>
      </c>
      <c r="F44" s="1">
        <f>Konto!V111+Konto!V117</f>
        <v>0</v>
      </c>
      <c r="G44" s="1">
        <f>Konto!W111+Konto!W117</f>
        <v>-315000</v>
      </c>
    </row>
    <row r="45" spans="1:7" x14ac:dyDescent="0.4">
      <c r="A45" t="s">
        <v>40</v>
      </c>
      <c r="B45" s="1">
        <f>+Konto!O118</f>
        <v>-120000</v>
      </c>
      <c r="C45" s="1">
        <f>+Konto!S118</f>
        <v>-750000</v>
      </c>
      <c r="D45" s="1">
        <f>+Konto!T118</f>
        <v>-750000</v>
      </c>
      <c r="E45" s="1">
        <f>+Konto!U118</f>
        <v>-765000</v>
      </c>
      <c r="F45" s="1">
        <f>+Konto!V118</f>
        <v>-400000</v>
      </c>
      <c r="G45" s="1">
        <f>+Konto!W118</f>
        <v>0</v>
      </c>
    </row>
    <row r="46" spans="1:7" x14ac:dyDescent="0.4">
      <c r="A46" t="s">
        <v>22</v>
      </c>
      <c r="B46" s="1">
        <f>+Konto!O119</f>
        <v>-12307030</v>
      </c>
      <c r="C46" s="1">
        <f>+Konto!S119</f>
        <v>-14836000</v>
      </c>
      <c r="D46" s="1">
        <f>+Konto!T119</f>
        <v>-15336000</v>
      </c>
      <c r="E46" s="1">
        <f>+Konto!U119</f>
        <v>-15771000</v>
      </c>
      <c r="F46" s="1">
        <f>+Konto!V119</f>
        <v>-15842800</v>
      </c>
      <c r="G46" s="1">
        <f>+Konto!W119</f>
        <v>-15842800</v>
      </c>
    </row>
    <row r="47" spans="1:7" x14ac:dyDescent="0.4">
      <c r="A47" t="s">
        <v>41</v>
      </c>
      <c r="B47" s="1">
        <f>+Konto!O120+Konto!O121</f>
        <v>-175795</v>
      </c>
      <c r="C47" s="1">
        <f>+Konto!S120+Konto!S121</f>
        <v>-100000</v>
      </c>
      <c r="D47" s="1">
        <f>+Konto!T120+Konto!T121</f>
        <v>-60000</v>
      </c>
      <c r="E47" s="1">
        <f>+Konto!U120+Konto!U121</f>
        <v>-400300</v>
      </c>
      <c r="F47" s="1">
        <f>+Konto!V120+Konto!V121</f>
        <v>-33030</v>
      </c>
      <c r="G47" s="1">
        <f>+Konto!W120+Konto!W121</f>
        <v>-33000</v>
      </c>
    </row>
    <row r="48" spans="1:7" x14ac:dyDescent="0.4">
      <c r="A48" t="s">
        <v>42</v>
      </c>
      <c r="B48" s="1"/>
      <c r="C48" s="1">
        <f>+Konto!S122</f>
        <v>-265000</v>
      </c>
      <c r="D48" s="1">
        <v>-265000</v>
      </c>
      <c r="E48" s="1">
        <f>+Konto!U122</f>
        <v>0</v>
      </c>
      <c r="F48" s="1">
        <f>+Konto!V122</f>
        <v>0</v>
      </c>
      <c r="G48" s="1">
        <f>+Konto!W122</f>
        <v>0</v>
      </c>
    </row>
    <row r="49" spans="1:7" x14ac:dyDescent="0.4">
      <c r="A49" t="s">
        <v>43</v>
      </c>
      <c r="B49" s="1">
        <f>+Konto!O123</f>
        <v>-3496672</v>
      </c>
      <c r="C49" s="1">
        <f>+Konto!S123</f>
        <v>-4000000</v>
      </c>
      <c r="D49" s="1">
        <f>+Konto!T123</f>
        <v>-4000000</v>
      </c>
      <c r="E49" s="1">
        <f>+Konto!U123</f>
        <v>-3500000</v>
      </c>
      <c r="F49" s="1">
        <f>+Konto!V123</f>
        <v>0</v>
      </c>
      <c r="G49" s="1">
        <f>+Konto!W123</f>
        <v>-3500000</v>
      </c>
    </row>
    <row r="50" spans="1:7" x14ac:dyDescent="0.4">
      <c r="A50" t="s">
        <v>44</v>
      </c>
      <c r="B50" s="1"/>
      <c r="C50" s="1"/>
      <c r="D50" s="1"/>
      <c r="E50" s="1"/>
      <c r="F50" s="1"/>
      <c r="G50" s="1"/>
    </row>
    <row r="51" spans="1:7" x14ac:dyDescent="0.4">
      <c r="A51" s="16" t="s">
        <v>26</v>
      </c>
      <c r="B51" s="12">
        <f>SUM(B40:B50)</f>
        <v>-18010164</v>
      </c>
      <c r="C51" s="12">
        <f>SUM(C40:C49)</f>
        <v>-21636000</v>
      </c>
      <c r="D51" s="12">
        <f>SUM(D40:D49)</f>
        <v>-22601000</v>
      </c>
      <c r="E51" s="12">
        <f>SUM(E40:E49)</f>
        <v>-22456300</v>
      </c>
      <c r="F51" s="12">
        <f>SUM(F40:F49)</f>
        <v>-17483293</v>
      </c>
      <c r="G51" s="12">
        <f>SUM(G40:G49)</f>
        <v>-21680800</v>
      </c>
    </row>
    <row r="52" spans="1:7" x14ac:dyDescent="0.4">
      <c r="A52" s="18" t="s">
        <v>27</v>
      </c>
      <c r="B52" s="19">
        <f t="shared" ref="B52:G52" si="4">SUM(B37+B51)</f>
        <v>-221531</v>
      </c>
      <c r="C52" s="19">
        <f t="shared" si="4"/>
        <v>-280000</v>
      </c>
      <c r="D52" s="19">
        <f t="shared" si="4"/>
        <v>819250</v>
      </c>
      <c r="E52" s="19">
        <f t="shared" si="4"/>
        <v>-733600</v>
      </c>
      <c r="F52" s="19">
        <f t="shared" si="4"/>
        <v>-5973751</v>
      </c>
      <c r="G52" s="19">
        <f t="shared" si="4"/>
        <v>479100</v>
      </c>
    </row>
    <row r="54" spans="1:7" x14ac:dyDescent="0.4">
      <c r="A54" s="10" t="s">
        <v>45</v>
      </c>
      <c r="B54" s="10"/>
      <c r="C54" s="10"/>
      <c r="D54" s="10"/>
      <c r="E54" s="10"/>
      <c r="F54" s="10"/>
      <c r="G54" s="10"/>
    </row>
    <row r="55" spans="1:7" x14ac:dyDescent="0.4">
      <c r="A55" t="s">
        <v>7</v>
      </c>
      <c r="B55" s="1">
        <f>+Konto!O127+Konto!O129+Konto!O131+Konto!O132+Konto!O133+Konto!O134</f>
        <v>5068331</v>
      </c>
      <c r="C55" s="1">
        <f>+Konto!S127+Konto!S129+Konto!S130+Konto!S131+Konto!S132+Konto!S133+Konto!S134</f>
        <v>6482000</v>
      </c>
      <c r="D55" s="1">
        <f>+Konto!T127+Konto!T128+Konto!T129+Konto!T130+Konto!T131+Konto!T132+Konto!T133+Konto!T134</f>
        <v>6252000</v>
      </c>
      <c r="E55" s="1">
        <f>+Konto!U127+Konto!U128+Konto!U129+Konto!U130+Konto!U131+Konto!U132+Konto!U133+Konto!U134</f>
        <v>7553650</v>
      </c>
      <c r="F55" s="1">
        <f>+Konto!V127+Konto!V128+Konto!V129+Konto!V130+Konto!V131+Konto!V132+Konto!V133+Konto!V134</f>
        <v>4230471</v>
      </c>
      <c r="G55" s="1">
        <f>+Konto!W127+Konto!W128+Konto!W129+Konto!W130+Konto!W131+Konto!W132+Konto!W133+Konto!W134</f>
        <v>6938650</v>
      </c>
    </row>
    <row r="56" spans="1:7" x14ac:dyDescent="0.4">
      <c r="A56" t="s">
        <v>29</v>
      </c>
      <c r="B56" s="1">
        <f>+Konto!O135+Konto!O136+Konto!O137+Konto!O139+Konto!O140+Konto!O141+Konto!O143+Konto!O145+Konto!O146+Konto!O147+Konto!O149+Konto!O150+Konto!O151+Konto!O152+Konto!O153+Konto!O154+Konto!O155+Konto!O156+Konto!O157+Konto!O158+Konto!O159+Konto!O160+Konto!O161+Konto!O162+Konto!O163+Konto!O164</f>
        <v>1762195</v>
      </c>
      <c r="C56" s="1">
        <f>+Konto!S135+Konto!S136+Konto!S137+Konto!S140+Konto!S141+Konto!S143+Konto!S145+Konto!S146+Konto!S147+Konto!S149+Konto!S150+Konto!S151+Konto!S152+Konto!S153+Konto!S154+Konto!S155+Konto!S156+Konto!S157+Konto!S158+Konto!S159+Konto!S160+Konto!S161+Konto!S162+Konto!S163+Konto!S164+Konto!S138</f>
        <v>1770000</v>
      </c>
      <c r="D56" s="1">
        <f>+Konto!T135+Konto!T136+Konto!T137+Konto!T138+Konto!T139+Konto!T140+Konto!T141+Konto!T142+Konto!T143+Konto!T144+Konto!T145+Konto!T146+Konto!T147+Konto!T148+Konto!T149+Konto!T150+Konto!T151+Konto!T152+Konto!T153+Konto!T154+Konto!T155+Konto!T156+Konto!T157+Konto!T158+Konto!T159+Konto!T160+Konto!T161+Konto!T162+Konto!T163+Konto!T164</f>
        <v>1945600</v>
      </c>
      <c r="E56" s="1">
        <f>+Konto!U135+Konto!U136+Konto!U137+Konto!U138+Konto!U139+Konto!U140+Konto!U141+Konto!U142+Konto!U143+Konto!U144+Konto!U145+Konto!U146+Konto!U147+Konto!U148+Konto!U149+Konto!U150+Konto!U151+Konto!U152+Konto!U153+Konto!U154+Konto!U155+Konto!U156+Konto!U157+Konto!U158+Konto!U159+Konto!U160+Konto!U161+Konto!U162+Konto!U163+Konto!U164</f>
        <v>2074000</v>
      </c>
      <c r="F56" s="1">
        <f>+Konto!V135+Konto!V136+Konto!V137+Konto!V138+Konto!V139+Konto!V140+Konto!V141+Konto!V142+Konto!V143+Konto!V144+Konto!V145+Konto!V146+Konto!V147+Konto!V148+Konto!V149+Konto!V150+Konto!V151+Konto!V152+Konto!V153+Konto!V154+Konto!V155+Konto!V156+Konto!V157+Konto!V158+Konto!V159+Konto!V160+Konto!V161+Konto!V162+Konto!V163+Konto!V164</f>
        <v>1542574</v>
      </c>
      <c r="G56" s="1">
        <f>+Konto!W135+Konto!W136+Konto!W137+Konto!W138+Konto!W139+Konto!W140+Konto!W141+Konto!W142+Konto!W143+Konto!W144+Konto!W145+Konto!W146+Konto!W147+Konto!W148+Konto!W149+Konto!W150+Konto!W151+Konto!W152+Konto!W153+Konto!W154+Konto!W155+Konto!W156+Konto!W157+Konto!W158+Konto!W159+Konto!W160+Konto!W161+Konto!W162+Konto!W163+Konto!W164</f>
        <v>2084100</v>
      </c>
    </row>
    <row r="57" spans="1:7" x14ac:dyDescent="0.4">
      <c r="A57" t="s">
        <v>46</v>
      </c>
      <c r="B57" s="1">
        <f>+Konto!O165</f>
        <v>2012709</v>
      </c>
      <c r="C57" s="1">
        <f>+Konto!S165</f>
        <v>1550000</v>
      </c>
      <c r="D57" s="1">
        <f>+Konto!T165</f>
        <v>1550000</v>
      </c>
      <c r="E57" s="1">
        <f>+Konto!U165</f>
        <v>2150000</v>
      </c>
      <c r="F57" s="1">
        <f>+Konto!V165</f>
        <v>1584687</v>
      </c>
      <c r="G57" s="1">
        <f>+Konto!W165</f>
        <v>2085000</v>
      </c>
    </row>
    <row r="58" spans="1:7" x14ac:dyDescent="0.4">
      <c r="A58" t="s">
        <v>11</v>
      </c>
      <c r="B58" s="1">
        <f>+Konto!O166</f>
        <v>375190</v>
      </c>
      <c r="C58" s="1">
        <f>+Konto!S166</f>
        <v>500000</v>
      </c>
      <c r="D58" s="1">
        <f>+Konto!T166</f>
        <v>500000</v>
      </c>
      <c r="E58" s="1">
        <f>+Konto!U166</f>
        <v>450000</v>
      </c>
      <c r="F58" s="1">
        <f>+Konto!V166</f>
        <v>348761</v>
      </c>
      <c r="G58" s="1">
        <f>+Konto!W166</f>
        <v>500000</v>
      </c>
    </row>
    <row r="59" spans="1:7" x14ac:dyDescent="0.4">
      <c r="A59" t="s">
        <v>47</v>
      </c>
      <c r="B59" s="1"/>
      <c r="C59" s="1"/>
      <c r="D59" s="1"/>
      <c r="E59" s="1"/>
      <c r="F59" s="1"/>
      <c r="G59" s="1"/>
    </row>
    <row r="60" spans="1:7" x14ac:dyDescent="0.4">
      <c r="A60" s="1" t="s">
        <v>48</v>
      </c>
      <c r="B60" s="1">
        <f>+Konto!O167+Konto!O168</f>
        <v>337548</v>
      </c>
      <c r="C60" s="1"/>
      <c r="D60" s="1"/>
      <c r="E60" s="1"/>
      <c r="F60" s="1"/>
      <c r="G60" s="1"/>
    </row>
    <row r="61" spans="1:7" x14ac:dyDescent="0.4">
      <c r="A61" t="s">
        <v>35</v>
      </c>
      <c r="B61" s="1">
        <f>+Konto!O171</f>
        <v>929327</v>
      </c>
      <c r="C61" s="1">
        <f>+Konto!S171</f>
        <v>1000000</v>
      </c>
      <c r="D61" s="1">
        <f>+Konto!T171</f>
        <v>1000000</v>
      </c>
      <c r="E61" s="1">
        <f>+Konto!U171</f>
        <v>1000000</v>
      </c>
      <c r="F61" s="1">
        <f>+Konto!V171</f>
        <v>0</v>
      </c>
      <c r="G61" s="1">
        <f>+Konto!W171</f>
        <v>1000000</v>
      </c>
    </row>
    <row r="62" spans="1:7" x14ac:dyDescent="0.4">
      <c r="A62" s="16" t="s">
        <v>14</v>
      </c>
      <c r="B62" s="12">
        <f t="shared" ref="B62:G62" si="5">SUM(B55:B61)</f>
        <v>10485300</v>
      </c>
      <c r="C62" s="12">
        <f t="shared" si="5"/>
        <v>11302000</v>
      </c>
      <c r="D62" s="12">
        <f t="shared" si="5"/>
        <v>11247600</v>
      </c>
      <c r="E62" s="12">
        <f t="shared" si="5"/>
        <v>13227650</v>
      </c>
      <c r="F62" s="12">
        <f t="shared" si="5"/>
        <v>7706493</v>
      </c>
      <c r="G62" s="12">
        <f t="shared" si="5"/>
        <v>12607750</v>
      </c>
    </row>
    <row r="65" spans="1:7" x14ac:dyDescent="0.4">
      <c r="A65" t="s">
        <v>49</v>
      </c>
      <c r="B65" s="1">
        <f>+Konto!O176+Konto!O177+Konto!O178+Konto!O179+Konto!O180</f>
        <v>-4359199</v>
      </c>
      <c r="C65" s="1">
        <f>+Konto!S177+Konto!S178+Konto!S179+Konto!S180</f>
        <v>-4310000</v>
      </c>
      <c r="D65" s="1">
        <f>+Konto!T176+Konto!T177+Konto!T178+Konto!T179+Konto!T180</f>
        <v>-4245000</v>
      </c>
      <c r="E65" s="1">
        <f>+Konto!U177+Konto!U178+Konto!U179+Konto!U180</f>
        <v>-5100000</v>
      </c>
      <c r="F65" s="1">
        <f>+Konto!V177+Konto!V178+Konto!V179+Konto!V180</f>
        <v>-3343114</v>
      </c>
      <c r="G65" s="1">
        <f>+Konto!W177+Konto!W178+Konto!W179+Konto!W180</f>
        <v>-4491000</v>
      </c>
    </row>
    <row r="66" spans="1:7" x14ac:dyDescent="0.4">
      <c r="A66" t="s">
        <v>50</v>
      </c>
      <c r="B66" s="1">
        <f>+Konto!O181+Konto!O182+Konto!O184</f>
        <v>-539685</v>
      </c>
      <c r="C66" s="1">
        <f>Konto!S181</f>
        <v>-1000000</v>
      </c>
      <c r="D66" s="1">
        <f>Konto!T181+Konto!T182</f>
        <v>-1150000</v>
      </c>
      <c r="E66" s="1">
        <f>Konto!U181</f>
        <v>-450000</v>
      </c>
      <c r="F66" s="1">
        <f>Konto!V181+Konto!V182</f>
        <v>-366788</v>
      </c>
      <c r="G66" s="1">
        <f>Konto!W181+Konto!W182</f>
        <v>-590000</v>
      </c>
    </row>
    <row r="67" spans="1:7" x14ac:dyDescent="0.4">
      <c r="A67" t="s">
        <v>51</v>
      </c>
      <c r="B67" s="1"/>
      <c r="C67" s="1"/>
      <c r="D67" s="1">
        <f>Konto!T184</f>
        <v>-1700</v>
      </c>
      <c r="E67" s="1"/>
      <c r="F67" s="1">
        <f>Konto!V184</f>
        <v>-1303</v>
      </c>
      <c r="G67" s="1">
        <f>Konto!W184</f>
        <v>-1700</v>
      </c>
    </row>
    <row r="68" spans="1:7" x14ac:dyDescent="0.4">
      <c r="A68" t="s">
        <v>11</v>
      </c>
      <c r="B68" s="1">
        <f>+Konto!O183</f>
        <v>-375190</v>
      </c>
      <c r="C68" s="1">
        <f>+Konto!S183</f>
        <v>-500000</v>
      </c>
      <c r="D68" s="1">
        <f>+Konto!T183</f>
        <v>-500000</v>
      </c>
      <c r="E68" s="1">
        <f>+Konto!U183</f>
        <v>-450000</v>
      </c>
      <c r="F68" s="1">
        <f>+Konto!V183</f>
        <v>-348762</v>
      </c>
      <c r="G68" s="1">
        <f>+Konto!W183</f>
        <v>-500000</v>
      </c>
    </row>
    <row r="69" spans="1:7" x14ac:dyDescent="0.4">
      <c r="A69" t="s">
        <v>22</v>
      </c>
      <c r="B69" s="1">
        <f>+Konto!O185</f>
        <v>-3951000</v>
      </c>
      <c r="C69" s="1">
        <f>+Konto!S185</f>
        <v>-4224500</v>
      </c>
      <c r="D69" s="1">
        <f>+Konto!T185</f>
        <v>-4224500</v>
      </c>
      <c r="E69" s="1">
        <f>+Konto!U185</f>
        <v>-5431650</v>
      </c>
      <c r="F69" s="1">
        <f>+Konto!V185</f>
        <v>-5455650</v>
      </c>
      <c r="G69" s="1">
        <f>+Konto!W185</f>
        <v>-5455650</v>
      </c>
    </row>
    <row r="70" spans="1:7" x14ac:dyDescent="0.4">
      <c r="A70" t="s">
        <v>52</v>
      </c>
      <c r="C70" s="1">
        <f>+Konto!S186</f>
        <v>0</v>
      </c>
      <c r="D70" s="1">
        <f>+Konto!T186</f>
        <v>0</v>
      </c>
      <c r="E70" s="1">
        <f>+Konto!U186</f>
        <v>-165850</v>
      </c>
      <c r="F70" s="1">
        <f>+Konto!V186</f>
        <v>0</v>
      </c>
      <c r="G70" s="1">
        <f>+Konto!W186</f>
        <v>0</v>
      </c>
    </row>
    <row r="71" spans="1:7" x14ac:dyDescent="0.4">
      <c r="A71" t="s">
        <v>53</v>
      </c>
      <c r="C71" s="1">
        <f>+Konto!S188</f>
        <v>0</v>
      </c>
      <c r="D71" s="1"/>
      <c r="E71" s="1">
        <f>+Konto!U188</f>
        <v>0</v>
      </c>
      <c r="F71" s="1">
        <f>+Konto!V188</f>
        <v>0</v>
      </c>
      <c r="G71" s="1">
        <f>+Konto!W188</f>
        <v>0</v>
      </c>
    </row>
    <row r="72" spans="1:7" x14ac:dyDescent="0.4">
      <c r="A72" t="s">
        <v>43</v>
      </c>
      <c r="B72" s="1">
        <f>+Konto!O189</f>
        <v>-929326</v>
      </c>
      <c r="C72" s="1">
        <f>+Konto!S189</f>
        <v>-1000000</v>
      </c>
      <c r="D72" s="1">
        <f>+Konto!T189</f>
        <v>-1000000</v>
      </c>
      <c r="E72" s="1">
        <f>+Konto!U189</f>
        <v>-1000000</v>
      </c>
      <c r="F72" s="1">
        <f>+Konto!V189</f>
        <v>0</v>
      </c>
      <c r="G72" s="1">
        <f>+Konto!W189</f>
        <v>-1000000</v>
      </c>
    </row>
    <row r="73" spans="1:7" x14ac:dyDescent="0.4">
      <c r="A73" s="16" t="s">
        <v>26</v>
      </c>
      <c r="B73" s="12">
        <f t="shared" ref="B73:G73" si="6">SUM(B65:B72)</f>
        <v>-10154400</v>
      </c>
      <c r="C73" s="12">
        <f t="shared" si="6"/>
        <v>-11034500</v>
      </c>
      <c r="D73" s="12">
        <f t="shared" si="6"/>
        <v>-11121200</v>
      </c>
      <c r="E73" s="12">
        <f t="shared" si="6"/>
        <v>-12597500</v>
      </c>
      <c r="F73" s="12">
        <f t="shared" si="6"/>
        <v>-9515617</v>
      </c>
      <c r="G73" s="12">
        <f t="shared" si="6"/>
        <v>-12038350</v>
      </c>
    </row>
    <row r="74" spans="1:7" x14ac:dyDescent="0.4">
      <c r="A74" s="18" t="s">
        <v>54</v>
      </c>
      <c r="B74" s="19">
        <f t="shared" ref="B74:G74" si="7">SUM(B62+B73)</f>
        <v>330900</v>
      </c>
      <c r="C74" s="19">
        <f t="shared" si="7"/>
        <v>267500</v>
      </c>
      <c r="D74" s="19">
        <f t="shared" si="7"/>
        <v>126400</v>
      </c>
      <c r="E74" s="19">
        <f t="shared" si="7"/>
        <v>630150</v>
      </c>
      <c r="F74" s="19">
        <f t="shared" si="7"/>
        <v>-1809124</v>
      </c>
      <c r="G74" s="19">
        <f t="shared" si="7"/>
        <v>569400</v>
      </c>
    </row>
    <row r="77" spans="1:7" x14ac:dyDescent="0.4">
      <c r="A77" s="10" t="s">
        <v>55</v>
      </c>
      <c r="B77" s="10"/>
      <c r="C77" s="10"/>
      <c r="D77" s="10"/>
      <c r="E77" s="10"/>
      <c r="F77" s="10"/>
      <c r="G77" s="10"/>
    </row>
    <row r="78" spans="1:7" x14ac:dyDescent="0.4">
      <c r="A78" t="s">
        <v>7</v>
      </c>
      <c r="B78" s="1">
        <f>+Konto!O196+Konto!O197+Konto!O198+Konto!O199+Konto!O201+Konto!O202+Konto!O203+Konto!O204</f>
        <v>2743299</v>
      </c>
      <c r="C78" s="1">
        <f>+Konto!S196+Konto!S197+Konto!S198+Konto!S199+Konto!S201+Konto!S202+Konto!S203+Konto!S204</f>
        <v>2923950</v>
      </c>
      <c r="D78" s="1">
        <f>+Konto!T196+Konto!T197+Konto!T198+Konto!T199+Konto!T200+Konto!T201+Konto!T202+Konto!T203+Konto!T204</f>
        <v>2923950</v>
      </c>
      <c r="E78" s="1">
        <f>+Konto!U196+Konto!U197+Konto!U198+Konto!U199+Konto!U200+Konto!U201+Konto!U202+Konto!U203+Konto!U204</f>
        <v>3440500</v>
      </c>
      <c r="F78" s="1">
        <f>Konto!V196+Konto!V197+Konto!V198+Konto!V199+Konto!V200+Konto!V201+Konto!V202+Konto!V203+Konto!V204</f>
        <v>2099989</v>
      </c>
      <c r="G78" s="1">
        <f>+Konto!W196+Konto!W197+Konto!W198+Konto!W199+Konto!W200+Konto!W201+Konto!W202+Konto!W203+Konto!W204</f>
        <v>3440500</v>
      </c>
    </row>
    <row r="79" spans="1:7" x14ac:dyDescent="0.4">
      <c r="A79" t="s">
        <v>29</v>
      </c>
      <c r="B79" s="1">
        <f>+Konto!O205+Konto!O206+Konto!O207+Konto!O208+Konto!O209+Konto!O210+Konto!O212+Konto!O214+Konto!O215+Konto!O216+Konto!O217+Konto!O219+Konto!O220+Konto!O222+Konto!O223+Konto!O224</f>
        <v>497441</v>
      </c>
      <c r="C79" s="1">
        <f>+Konto!S205+Konto!S206+Konto!S207+Konto!S208+Konto!S209+Konto!S210+Konto!S211+Konto!S212+Konto!S213+Konto!S214+Konto!S215+Konto!S216+Konto!S217+Konto!S218+Konto!S219+Konto!S220+Konto!S221+Konto!S222+Konto!S223+Konto!S224</f>
        <v>672400</v>
      </c>
      <c r="D79" s="1">
        <f>+Konto!T205+Konto!T206+Konto!T207+Konto!T208+Konto!T209+Konto!T210+Konto!T211+Konto!T212+Konto!T213+Konto!T214+Konto!T215+Konto!T216+Konto!T217+Konto!T218+Konto!T219+Konto!T220+Konto!T221+Konto!T222+Konto!T223+Konto!T224</f>
        <v>688650</v>
      </c>
      <c r="E79" s="1">
        <f>+Konto!U205+Konto!U206+Konto!U207+Konto!U208+Konto!U209+Konto!U210+Konto!U211+Konto!U212+Konto!U213+Konto!U214+Konto!U215+Konto!U216+Konto!U217+Konto!U218+Konto!U219+Konto!U222+Konto!U223+Konto!U224</f>
        <v>686500</v>
      </c>
      <c r="F79" s="1">
        <f>+Konto!V205+Konto!V206+Konto!V207+Konto!V208+Konto!V209+Konto!V210+Konto!V211+Konto!V212+Konto!V213+Konto!V214+Konto!V215+Konto!V216+Konto!V217+Konto!V218+Konto!V219+Konto!V220+Konto!V221+Konto!V222+Konto!V223+Konto!V224</f>
        <v>426588</v>
      </c>
      <c r="G79" s="1">
        <f>+Konto!W205+Konto!W206+Konto!W207+Konto!W208+Konto!W209+Konto!W210+Konto!W211+Konto!W212+Konto!W213+Konto!W214+Konto!W215+Konto!W216+Konto!W217+Konto!W218+Konto!W219+Konto!W220+Konto!W221+Konto!W222+Konto!W223+Konto!W224</f>
        <v>686500</v>
      </c>
    </row>
    <row r="80" spans="1:7" x14ac:dyDescent="0.4">
      <c r="A80" t="s">
        <v>56</v>
      </c>
      <c r="B80" s="1">
        <f>+Konto!O225+Konto!O226</f>
        <v>104534</v>
      </c>
      <c r="C80" s="1">
        <f>+Konto!S225+Konto!S226</f>
        <v>100000</v>
      </c>
      <c r="D80" s="1">
        <f>+Konto!T225+Konto!T226</f>
        <v>100000</v>
      </c>
      <c r="E80" s="1">
        <f>+Konto!U225+Konto!U226</f>
        <v>125000</v>
      </c>
      <c r="F80" s="1">
        <f>+Konto!V225+Konto!V226</f>
        <v>125000</v>
      </c>
      <c r="G80" s="1">
        <f>+Konto!W225+Konto!W226</f>
        <v>125000</v>
      </c>
    </row>
    <row r="81" spans="1:7" x14ac:dyDescent="0.4">
      <c r="A81" t="s">
        <v>11</v>
      </c>
      <c r="B81" s="1">
        <f>+Konto!O227</f>
        <v>85071</v>
      </c>
      <c r="C81" s="1">
        <f>+Konto!S227</f>
        <v>85000</v>
      </c>
      <c r="D81" s="1">
        <f>+Konto!T227</f>
        <v>85000</v>
      </c>
      <c r="E81" s="1">
        <f>+Konto!U227</f>
        <v>110000</v>
      </c>
      <c r="F81" s="1">
        <f>+Konto!V227</f>
        <v>76364</v>
      </c>
      <c r="G81" s="1">
        <f>+Konto!W227</f>
        <v>110000</v>
      </c>
    </row>
    <row r="82" spans="1:7" x14ac:dyDescent="0.4">
      <c r="A82" t="s">
        <v>57</v>
      </c>
      <c r="B82" s="1">
        <f>+Konto!O228</f>
        <v>80000</v>
      </c>
      <c r="D82" s="1">
        <f>Konto!T228</f>
        <v>0</v>
      </c>
    </row>
    <row r="83" spans="1:7" x14ac:dyDescent="0.4">
      <c r="A83" t="s">
        <v>58</v>
      </c>
      <c r="B83" s="1"/>
      <c r="C83" s="1">
        <f>+Konto!S229</f>
        <v>0</v>
      </c>
      <c r="D83" s="1">
        <f>+Konto!T229</f>
        <v>0</v>
      </c>
      <c r="E83" s="1">
        <f>+Konto!U229</f>
        <v>0</v>
      </c>
      <c r="F83" s="1">
        <f>+Konto!V229</f>
        <v>0</v>
      </c>
      <c r="G83" s="1">
        <f>+Konto!W229</f>
        <v>0</v>
      </c>
    </row>
    <row r="84" spans="1:7" x14ac:dyDescent="0.4">
      <c r="A84" s="15" t="s">
        <v>14</v>
      </c>
      <c r="B84" s="12">
        <f>SUM(B78:B82)</f>
        <v>3510345</v>
      </c>
      <c r="C84" s="12">
        <f>SUM(C78:C83)</f>
        <v>3781350</v>
      </c>
      <c r="D84" s="12">
        <f>SUM(D78:D83)</f>
        <v>3797600</v>
      </c>
      <c r="E84" s="12">
        <f>SUM(E78:E83)</f>
        <v>4362000</v>
      </c>
      <c r="F84" s="12">
        <f>SUM(F78:F83)</f>
        <v>2727941</v>
      </c>
      <c r="G84" s="12">
        <f>SUM(G78:G83)</f>
        <v>4362000</v>
      </c>
    </row>
    <row r="85" spans="1:7" x14ac:dyDescent="0.4">
      <c r="A85" s="23"/>
      <c r="B85" s="1"/>
      <c r="C85" s="1"/>
      <c r="D85" s="1"/>
    </row>
    <row r="86" spans="1:7" x14ac:dyDescent="0.4">
      <c r="A86" s="23"/>
      <c r="B86" s="1"/>
      <c r="C86" s="1"/>
      <c r="D86" s="1"/>
      <c r="E86" s="1"/>
      <c r="F86" s="1"/>
      <c r="G86" s="1"/>
    </row>
    <row r="87" spans="1:7" x14ac:dyDescent="0.4">
      <c r="A87" s="22" t="s">
        <v>59</v>
      </c>
      <c r="B87" s="1">
        <f>+Konto!O233</f>
        <v>-40904</v>
      </c>
      <c r="C87" s="1">
        <f>+Konto!S233+Konto!S234</f>
        <v>-55650</v>
      </c>
      <c r="D87" s="1">
        <f>+Konto!T233+Konto!T234</f>
        <v>-127600</v>
      </c>
      <c r="E87" s="1">
        <f>+Konto!U233+Konto!U234</f>
        <v>-150000</v>
      </c>
      <c r="F87" s="1">
        <f>+Konto!V233+Konto!V234</f>
        <v>-144865</v>
      </c>
      <c r="G87" s="1">
        <f>+Konto!W233+Konto!W234</f>
        <v>-150000</v>
      </c>
    </row>
    <row r="88" spans="1:7" x14ac:dyDescent="0.4">
      <c r="A88" s="22" t="s">
        <v>38</v>
      </c>
      <c r="B88" s="1">
        <f>+Konto!O235</f>
        <v>-17129</v>
      </c>
      <c r="C88" s="1"/>
      <c r="D88" s="1">
        <f>Konto!T235</f>
        <v>-77000</v>
      </c>
      <c r="E88" s="1">
        <f>Konto!U235</f>
        <v>-90000</v>
      </c>
      <c r="F88" s="1">
        <f>Konto!V235</f>
        <v>-5349</v>
      </c>
      <c r="G88" s="1">
        <f>Konto!W235</f>
        <v>-90000</v>
      </c>
    </row>
    <row r="89" spans="1:7" x14ac:dyDescent="0.4">
      <c r="A89" s="22" t="s">
        <v>60</v>
      </c>
      <c r="B89" s="1">
        <f>+Konto!O236</f>
        <v>-85073</v>
      </c>
      <c r="C89" s="1">
        <f>+Konto!S236</f>
        <v>-85000</v>
      </c>
      <c r="D89" s="1">
        <f>+Konto!T236</f>
        <v>-85000</v>
      </c>
      <c r="E89" s="1">
        <f>+Konto!U236</f>
        <v>-110000</v>
      </c>
      <c r="F89" s="1">
        <f>+Konto!V236</f>
        <v>-76364</v>
      </c>
      <c r="G89" s="1">
        <f>+Konto!W236</f>
        <v>-110000</v>
      </c>
    </row>
    <row r="90" spans="1:7" x14ac:dyDescent="0.4">
      <c r="A90" s="22" t="s">
        <v>51</v>
      </c>
      <c r="B90" s="1">
        <f>+Konto!O238</f>
        <v>-1581</v>
      </c>
      <c r="D90" s="1">
        <f>Konto!T238</f>
        <v>0</v>
      </c>
      <c r="E90" s="1">
        <f>Konto!U237+Konto!U238</f>
        <v>0</v>
      </c>
      <c r="F90" s="1">
        <f>Konto!V237+Konto!V238</f>
        <v>-799</v>
      </c>
      <c r="G90" s="1">
        <f>Konto!W237+Konto!W238</f>
        <v>0</v>
      </c>
    </row>
    <row r="91" spans="1:7" x14ac:dyDescent="0.4">
      <c r="A91" s="22" t="s">
        <v>61</v>
      </c>
      <c r="B91" s="1">
        <f>+Konto!O240</f>
        <v>-3451782</v>
      </c>
      <c r="C91" s="1">
        <f>+Konto!S240</f>
        <v>-3640700</v>
      </c>
      <c r="D91" s="1">
        <f>+Konto!T240</f>
        <v>-3508000</v>
      </c>
      <c r="E91" s="1">
        <f>+Konto!U240</f>
        <v>-3516000</v>
      </c>
      <c r="F91" s="1">
        <f>+Konto!V240</f>
        <v>0</v>
      </c>
      <c r="G91" s="1">
        <f>+Konto!W240</f>
        <v>-3516000</v>
      </c>
    </row>
    <row r="92" spans="1:7" x14ac:dyDescent="0.4">
      <c r="A92" s="22" t="s">
        <v>62</v>
      </c>
      <c r="B92" s="1">
        <f>+Konto!O241</f>
        <v>-1680</v>
      </c>
    </row>
    <row r="93" spans="1:7" x14ac:dyDescent="0.4">
      <c r="A93" s="22" t="s">
        <v>53</v>
      </c>
      <c r="B93" s="1"/>
      <c r="C93" s="1">
        <f>+Konto!S242</f>
        <v>0</v>
      </c>
      <c r="D93" s="1">
        <f>+Konto!T242</f>
        <v>0</v>
      </c>
      <c r="E93" s="1">
        <f>+Konto!U242</f>
        <v>0</v>
      </c>
      <c r="F93" s="1">
        <f>+Konto!V242</f>
        <v>0</v>
      </c>
      <c r="G93" s="1">
        <f>+Konto!W242</f>
        <v>0</v>
      </c>
    </row>
    <row r="94" spans="1:7" x14ac:dyDescent="0.4">
      <c r="A94" s="22" t="s">
        <v>63</v>
      </c>
      <c r="B94" s="1"/>
      <c r="C94" s="1">
        <f>+Konto!S243</f>
        <v>0</v>
      </c>
      <c r="D94" s="1">
        <f>+Konto!T243</f>
        <v>0</v>
      </c>
      <c r="E94" s="1">
        <f>+Konto!U243</f>
        <v>-496000</v>
      </c>
      <c r="F94" s="1">
        <f>+Konto!V243</f>
        <v>0</v>
      </c>
      <c r="G94" s="1">
        <f>+Konto!W243</f>
        <v>-496000</v>
      </c>
    </row>
    <row r="95" spans="1:7" x14ac:dyDescent="0.4">
      <c r="A95" s="15" t="s">
        <v>26</v>
      </c>
      <c r="B95" s="20">
        <f>SUM(B87:B92)</f>
        <v>-3598149</v>
      </c>
      <c r="C95" s="20">
        <f>SUM(C87:C94)</f>
        <v>-3781350</v>
      </c>
      <c r="D95" s="20">
        <f>SUM(D87:D94)</f>
        <v>-3797600</v>
      </c>
      <c r="E95" s="20">
        <f>SUM(E87:E94)</f>
        <v>-4362000</v>
      </c>
      <c r="F95" s="20">
        <f>SUM(F87:F94)</f>
        <v>-227377</v>
      </c>
      <c r="G95" s="20">
        <f>SUM(G87:G94)</f>
        <v>-4362000</v>
      </c>
    </row>
    <row r="96" spans="1:7" x14ac:dyDescent="0.4">
      <c r="A96" s="18" t="s">
        <v>54</v>
      </c>
      <c r="B96" s="19">
        <f t="shared" ref="B96:G96" si="8">SUM(B84+B95)</f>
        <v>-87804</v>
      </c>
      <c r="C96" s="19">
        <f t="shared" si="8"/>
        <v>0</v>
      </c>
      <c r="D96" s="19">
        <f t="shared" si="8"/>
        <v>0</v>
      </c>
      <c r="E96" s="19">
        <f t="shared" si="8"/>
        <v>0</v>
      </c>
      <c r="F96" s="19">
        <f t="shared" si="8"/>
        <v>2500564</v>
      </c>
      <c r="G96" s="19">
        <f t="shared" si="8"/>
        <v>0</v>
      </c>
    </row>
    <row r="97" spans="1:7" x14ac:dyDescent="0.4">
      <c r="B97" s="1"/>
      <c r="C97" s="1"/>
      <c r="D97" s="1"/>
    </row>
    <row r="98" spans="1:7" x14ac:dyDescent="0.4">
      <c r="B98" s="1"/>
      <c r="C98" s="1"/>
      <c r="D98" s="1"/>
    </row>
    <row r="99" spans="1:7" x14ac:dyDescent="0.4">
      <c r="A99" s="10" t="s">
        <v>64</v>
      </c>
      <c r="B99" s="11"/>
      <c r="C99" s="11"/>
      <c r="D99" s="11"/>
      <c r="E99" s="10"/>
      <c r="F99" s="10"/>
      <c r="G99" s="10"/>
    </row>
    <row r="100" spans="1:7" x14ac:dyDescent="0.4">
      <c r="A100" t="s">
        <v>7</v>
      </c>
      <c r="B100" s="1">
        <f>+Konto!O247+Konto!O249+Konto!O251</f>
        <v>69381</v>
      </c>
      <c r="C100" s="1">
        <f>+Konto!S247+Konto!S249+Konto!S251</f>
        <v>89000</v>
      </c>
      <c r="D100" s="1">
        <f>+Konto!T247+Konto!T248+Konto!T249+Konto!T250+Konto!T251</f>
        <v>89000</v>
      </c>
      <c r="E100" s="1">
        <f>+Konto!U247+Konto!U249+Konto!U251</f>
        <v>0</v>
      </c>
      <c r="F100" s="1">
        <f>+Konto!V247+Konto!V249+Konto!V251</f>
        <v>59293</v>
      </c>
      <c r="G100" s="1">
        <f>+Konto!W247+Konto!W249+Konto!W251</f>
        <v>92000</v>
      </c>
    </row>
    <row r="101" spans="1:7" x14ac:dyDescent="0.4">
      <c r="A101" t="s">
        <v>29</v>
      </c>
      <c r="B101" s="1"/>
      <c r="C101" s="1">
        <f>+Konto!S252+Konto!S253+Konto!S254+Konto!S257+Konto!S258+Konto!S259+Konto!S260+Konto!S261+Konto!S264</f>
        <v>0</v>
      </c>
      <c r="D101" s="1">
        <f>+Konto!T252+Konto!T253+Konto!T254+Konto!T255+Konto!T256+Konto!T257+Konto!T258+Konto!T259+Konto!T260+Konto!T261+Konto!T263+Konto!T264</f>
        <v>0</v>
      </c>
      <c r="E101" s="1">
        <f>+Konto!U252+Konto!U253+Konto!U254+Konto!U256+Konto!U257+Konto!U258+Konto!U259+Konto!U260+Konto!U261+Konto!U263+Konto!U264</f>
        <v>0</v>
      </c>
      <c r="F101" s="1">
        <f>+Konto!V252+Konto!V253+Konto!V254+Konto!V256+Konto!V257+Konto!V258+Konto!V259+Konto!V260+Konto!V261+Konto!V263+Konto!V264</f>
        <v>232</v>
      </c>
      <c r="G101" s="1">
        <f>+Konto!W252+Konto!W253+Konto!W254+Konto!W256+Konto!W257+Konto!W258+Konto!W259+Konto!W260+Konto!W261+Konto!W263+Konto!W264</f>
        <v>500</v>
      </c>
    </row>
    <row r="102" spans="1:7" x14ac:dyDescent="0.4">
      <c r="A102" t="s">
        <v>11</v>
      </c>
      <c r="B102" s="1"/>
      <c r="C102" s="1">
        <f>+Konto!S265</f>
        <v>0</v>
      </c>
      <c r="D102" s="1">
        <f>+Konto!T265</f>
        <v>0</v>
      </c>
      <c r="E102" s="1">
        <f>+Konto!U265</f>
        <v>0</v>
      </c>
      <c r="F102" s="1">
        <f>+Konto!V265</f>
        <v>0</v>
      </c>
      <c r="G102" s="1">
        <f>+Konto!W265</f>
        <v>0</v>
      </c>
    </row>
    <row r="103" spans="1:7" x14ac:dyDescent="0.4">
      <c r="A103" s="16" t="s">
        <v>14</v>
      </c>
      <c r="B103" s="20">
        <f t="shared" ref="B103:G103" si="9">SUM(B100:B102)</f>
        <v>69381</v>
      </c>
      <c r="C103" s="20">
        <f t="shared" si="9"/>
        <v>89000</v>
      </c>
      <c r="D103" s="20">
        <f t="shared" si="9"/>
        <v>89000</v>
      </c>
      <c r="E103" s="20">
        <f t="shared" si="9"/>
        <v>0</v>
      </c>
      <c r="F103" s="20">
        <f t="shared" si="9"/>
        <v>59525</v>
      </c>
      <c r="G103" s="20">
        <f t="shared" si="9"/>
        <v>92500</v>
      </c>
    </row>
    <row r="104" spans="1:7" x14ac:dyDescent="0.4">
      <c r="B104" s="1"/>
      <c r="C104" s="1"/>
      <c r="D104" s="1"/>
      <c r="E104" s="1"/>
      <c r="F104" s="1"/>
      <c r="G104" s="1"/>
    </row>
    <row r="105" spans="1:7" x14ac:dyDescent="0.4">
      <c r="B105" s="1"/>
      <c r="C105" s="1"/>
      <c r="D105" s="1"/>
      <c r="E105" s="1"/>
      <c r="F105" s="1"/>
      <c r="G105" s="1"/>
    </row>
    <row r="106" spans="1:7" x14ac:dyDescent="0.4">
      <c r="A106" t="s">
        <v>60</v>
      </c>
      <c r="B106" s="1"/>
      <c r="C106" s="1">
        <f>+Konto!S268</f>
        <v>0</v>
      </c>
      <c r="D106" s="1">
        <f>+Konto!T268</f>
        <v>0</v>
      </c>
      <c r="E106" s="1">
        <f>+Konto!U268</f>
        <v>0</v>
      </c>
      <c r="F106" s="1">
        <f>+Konto!V268</f>
        <v>0</v>
      </c>
      <c r="G106" s="1">
        <f>+Konto!W268</f>
        <v>0</v>
      </c>
    </row>
    <row r="107" spans="1:7" x14ac:dyDescent="0.4">
      <c r="A107" t="s">
        <v>65</v>
      </c>
      <c r="B107" s="1"/>
      <c r="C107" s="1">
        <f>+Konto!S269</f>
        <v>0</v>
      </c>
      <c r="D107" s="1">
        <f>+Konto!T269</f>
        <v>0</v>
      </c>
      <c r="E107" s="1">
        <f>+Konto!U269</f>
        <v>0</v>
      </c>
      <c r="F107" s="1">
        <f>+Konto!V269</f>
        <v>0</v>
      </c>
      <c r="G107" s="1">
        <f>+Konto!W269</f>
        <v>0</v>
      </c>
    </row>
    <row r="108" spans="1:7" x14ac:dyDescent="0.4">
      <c r="A108" t="s">
        <v>66</v>
      </c>
      <c r="B108" s="1"/>
      <c r="C108" s="1"/>
      <c r="D108" s="1"/>
      <c r="E108" s="1"/>
      <c r="F108" s="1"/>
      <c r="G108" s="1"/>
    </row>
    <row r="109" spans="1:7" x14ac:dyDescent="0.4">
      <c r="A109" t="s">
        <v>61</v>
      </c>
      <c r="B109" s="1">
        <f>+Konto!O271</f>
        <v>-75000</v>
      </c>
      <c r="C109" s="1">
        <f>+Konto!S271</f>
        <v>-89000</v>
      </c>
      <c r="D109" s="1">
        <f>+Konto!T271</f>
        <v>-89000</v>
      </c>
      <c r="E109" s="1">
        <f>+Konto!U271</f>
        <v>0</v>
      </c>
      <c r="F109" s="1">
        <f>+Konto!V271</f>
        <v>0</v>
      </c>
      <c r="G109" s="1">
        <f>+Konto!W271</f>
        <v>-92500</v>
      </c>
    </row>
    <row r="110" spans="1:7" x14ac:dyDescent="0.4">
      <c r="A110" t="s">
        <v>67</v>
      </c>
      <c r="B110" s="1"/>
      <c r="C110" s="1"/>
      <c r="D110" s="1"/>
      <c r="E110" s="1"/>
      <c r="F110" s="1"/>
      <c r="G110" s="1"/>
    </row>
    <row r="111" spans="1:7" x14ac:dyDescent="0.4">
      <c r="A111" s="16" t="s">
        <v>26</v>
      </c>
      <c r="B111" s="20">
        <f>SUM(B106:B109)</f>
        <v>-75000</v>
      </c>
      <c r="C111" s="20">
        <f>SUM(C106:C110)</f>
        <v>-89000</v>
      </c>
      <c r="D111" s="20">
        <f>SUM(D106:D110)</f>
        <v>-89000</v>
      </c>
      <c r="E111" s="20">
        <f>SUM(E106:E110)</f>
        <v>0</v>
      </c>
      <c r="F111" s="20">
        <f>SUM(F106:F110)</f>
        <v>0</v>
      </c>
      <c r="G111" s="20">
        <f>SUM(G106:G110)</f>
        <v>-92500</v>
      </c>
    </row>
    <row r="112" spans="1:7" x14ac:dyDescent="0.4">
      <c r="A112" s="18" t="s">
        <v>54</v>
      </c>
      <c r="B112" s="19">
        <f t="shared" ref="B112:G112" si="10">SUM(B103+B111)</f>
        <v>-5619</v>
      </c>
      <c r="C112" s="19">
        <f t="shared" si="10"/>
        <v>0</v>
      </c>
      <c r="D112" s="19">
        <f t="shared" si="10"/>
        <v>0</v>
      </c>
      <c r="E112" s="19">
        <f t="shared" si="10"/>
        <v>0</v>
      </c>
      <c r="F112" s="19">
        <f t="shared" si="10"/>
        <v>59525</v>
      </c>
      <c r="G112" s="19">
        <f t="shared" si="10"/>
        <v>0</v>
      </c>
    </row>
    <row r="113" spans="1:7" x14ac:dyDescent="0.4">
      <c r="B113" s="1"/>
      <c r="C113" s="1"/>
      <c r="D113" s="1"/>
    </row>
    <row r="114" spans="1:7" x14ac:dyDescent="0.4">
      <c r="B114" s="1"/>
      <c r="C114" s="1"/>
      <c r="D114" s="1"/>
    </row>
    <row r="115" spans="1:7" x14ac:dyDescent="0.4">
      <c r="A115" s="10" t="s">
        <v>68</v>
      </c>
      <c r="B115" s="10"/>
      <c r="C115" s="10"/>
      <c r="D115" s="10"/>
      <c r="E115" s="10"/>
      <c r="F115" s="10"/>
      <c r="G115" s="10"/>
    </row>
    <row r="116" spans="1:7" x14ac:dyDescent="0.4">
      <c r="A116" t="s">
        <v>7</v>
      </c>
      <c r="B116" s="1">
        <f>+Konto!O276+Konto!O277+Konto!O280+Konto!O281+Konto!O282+Konto!O283</f>
        <v>1621585</v>
      </c>
      <c r="D116" s="1">
        <f>Konto!T276+Konto!T277+Konto!T278+Konto!T280+Konto!T281+Konto!T282+Konto!T283</f>
        <v>19500</v>
      </c>
      <c r="E116" s="1">
        <f>Konto!U276+Konto!U277+Konto!U278+Konto!U280+Konto!U281+Konto!U282+Konto!U283</f>
        <v>18000</v>
      </c>
      <c r="F116" s="1">
        <f>Konto!V276+Konto!V277+Konto!V278+Konto!V279+Konto!V280+Konto!V281+Konto!V282+Konto!V283</f>
        <v>34568</v>
      </c>
      <c r="G116" s="1">
        <f>Konto!W276+Konto!W277+Konto!W278+Konto!W279+Konto!W280+Konto!W281+Konto!W282+Konto!W283</f>
        <v>18000</v>
      </c>
    </row>
    <row r="117" spans="1:7" x14ac:dyDescent="0.4">
      <c r="A117" t="s">
        <v>29</v>
      </c>
      <c r="B117" s="1">
        <f>+Konto!O285+Konto!O286+Konto!O287+Konto!O288+Konto!O289+Konto!O291+Konto!O293+Konto!O294+Konto!O298+Konto!O299+Konto!O300+Konto!O302+Konto!O303+Konto!O304</f>
        <v>653191</v>
      </c>
      <c r="C117" s="1">
        <f>+Konto!S285+Konto!S286+Konto!S287+Konto!S288+Konto!S289+Konto!S291+Konto!S293+Konto!S294+Konto!S295+Konto!S298+Konto!S299+Konto!S309</f>
        <v>1408000</v>
      </c>
      <c r="D117" s="1">
        <f>Konto!T284+Konto!T285+Konto!T286+Konto!T287+Konto!T288+Konto!T289+Konto!T290+Konto!T291+Konto!T293+Konto!T294+Konto!T295+Konto!T296+Konto!T297+Konto!T298+Konto!T299+Konto!T300</f>
        <v>1413500</v>
      </c>
      <c r="E117" s="1">
        <f>Konto!U284+Konto!U285+Konto!U286+Konto!U287+Konto!U288+Konto!U289+Konto!U290+Konto!U291+Konto!U293+Konto!U294+Konto!U295+Konto!U296+Konto!U297+Konto!U298+Konto!U299+Konto!U300</f>
        <v>1518500</v>
      </c>
      <c r="F117" s="1">
        <f>Konto!V284+Konto!V285+Konto!V286+Konto!V287+Konto!V288+Konto!V289+Konto!V290+Konto!V291+Konto!V292+Konto!V293+Konto!V294+Konto!V295+Konto!V296+Konto!V297+Konto!V298+Konto!V299+Konto!V300</f>
        <v>1551389</v>
      </c>
      <c r="G117" s="1">
        <f>Konto!W284+Konto!W285+Konto!W286+Konto!W287+Konto!W288+Konto!W289+Konto!W290+Konto!W291+Konto!W293+Konto!W294+Konto!W295+Konto!W296+Konto!W297+Konto!W298+Konto!W299+Konto!W300</f>
        <v>1518500</v>
      </c>
    </row>
    <row r="118" spans="1:7" x14ac:dyDescent="0.4">
      <c r="A118" t="s">
        <v>69</v>
      </c>
      <c r="B118" s="1">
        <f>+Konto!O306</f>
        <v>24000</v>
      </c>
      <c r="C118" s="1">
        <f>+Konto!S306</f>
        <v>0</v>
      </c>
      <c r="D118" s="1">
        <f>+Konto!T306</f>
        <v>0</v>
      </c>
      <c r="E118" s="1">
        <f>+Konto!U306</f>
        <v>0</v>
      </c>
      <c r="F118" s="1">
        <f>+Konto!V306</f>
        <v>0</v>
      </c>
      <c r="G118" s="1">
        <f>+Konto!W306</f>
        <v>0</v>
      </c>
    </row>
    <row r="119" spans="1:7" x14ac:dyDescent="0.4">
      <c r="A119" t="s">
        <v>10</v>
      </c>
      <c r="B119" s="1">
        <f>+Konto!O307</f>
        <v>874</v>
      </c>
      <c r="C119" s="1"/>
      <c r="D119" s="1"/>
      <c r="E119" s="1">
        <f>Konto!U307</f>
        <v>0</v>
      </c>
      <c r="F119" s="1">
        <f>Konto!V307</f>
        <v>0</v>
      </c>
      <c r="G119" s="1">
        <f>Konto!W307</f>
        <v>0</v>
      </c>
    </row>
    <row r="120" spans="1:7" x14ac:dyDescent="0.4">
      <c r="A120" t="s">
        <v>11</v>
      </c>
      <c r="B120" s="1">
        <f>+Konto!O308</f>
        <v>67434</v>
      </c>
      <c r="C120" s="1">
        <f>+Konto!S308</f>
        <v>90000</v>
      </c>
      <c r="D120" s="1">
        <f>+Konto!T308</f>
        <v>43000</v>
      </c>
      <c r="E120" s="1">
        <f>+Konto!U308</f>
        <v>55000</v>
      </c>
      <c r="F120" s="1">
        <f>+Konto!V308</f>
        <v>44006</v>
      </c>
      <c r="G120" s="1">
        <f>+Konto!W308</f>
        <v>55000</v>
      </c>
    </row>
    <row r="121" spans="1:7" x14ac:dyDescent="0.4">
      <c r="A121" t="s">
        <v>32</v>
      </c>
      <c r="B121" s="1"/>
      <c r="C121" s="1"/>
      <c r="D121" s="1"/>
      <c r="E121" s="1">
        <f>Konto!U310</f>
        <v>15000</v>
      </c>
      <c r="F121" s="1">
        <f>Konto!V310</f>
        <v>0</v>
      </c>
      <c r="G121" s="1">
        <f>Konto!W310</f>
        <v>15000</v>
      </c>
    </row>
    <row r="122" spans="1:7" x14ac:dyDescent="0.4">
      <c r="A122" t="s">
        <v>63</v>
      </c>
      <c r="B122" s="1"/>
      <c r="C122" s="1"/>
      <c r="D122" s="1"/>
      <c r="E122" s="1">
        <f>Konto!U311</f>
        <v>0</v>
      </c>
      <c r="F122" s="1">
        <f>Konto!V311</f>
        <v>0</v>
      </c>
      <c r="G122" s="1">
        <f>Konto!W311</f>
        <v>0</v>
      </c>
    </row>
    <row r="123" spans="1:7" x14ac:dyDescent="0.4">
      <c r="A123" s="16" t="s">
        <v>14</v>
      </c>
      <c r="B123" s="12">
        <f>SUM(B116:B120)</f>
        <v>2367084</v>
      </c>
      <c r="C123" s="12">
        <f>SUM(C117:C120)</f>
        <v>1498000</v>
      </c>
      <c r="D123" s="12">
        <f>SUM(D116:D120)</f>
        <v>1476000</v>
      </c>
      <c r="E123" s="12">
        <f>SUM(E116:E122)</f>
        <v>1606500</v>
      </c>
      <c r="F123" s="12">
        <f>SUM(F116:F122)</f>
        <v>1629963</v>
      </c>
      <c r="G123" s="12">
        <f>SUM(G116:G122)</f>
        <v>1606500</v>
      </c>
    </row>
    <row r="125" spans="1:7" x14ac:dyDescent="0.4">
      <c r="A125" t="s">
        <v>59</v>
      </c>
      <c r="B125" s="1">
        <f>+Konto!O314+Konto!O315</f>
        <v>-584684</v>
      </c>
      <c r="C125" s="1">
        <f>+Konto!S315</f>
        <v>-1127500</v>
      </c>
      <c r="D125" s="1">
        <f>+Konto!T315</f>
        <v>-1009500</v>
      </c>
      <c r="E125" s="1">
        <f>Konto!U314+Konto!U315</f>
        <v>-1236500</v>
      </c>
      <c r="F125" s="1">
        <f>Konto!V314</f>
        <v>-1169635</v>
      </c>
      <c r="G125" s="1">
        <f>Konto!W314+Konto!W315</f>
        <v>-1236500</v>
      </c>
    </row>
    <row r="126" spans="1:7" x14ac:dyDescent="0.4">
      <c r="A126" t="s">
        <v>70</v>
      </c>
      <c r="B126" s="1">
        <f>+Konto!O316</f>
        <v>-24000</v>
      </c>
      <c r="C126" s="1">
        <f>+Konto!S314+Konto!S316</f>
        <v>-60000</v>
      </c>
      <c r="D126" s="1">
        <f>+Konto!T314+Konto!T316</f>
        <v>-30000</v>
      </c>
      <c r="E126" s="1">
        <f>Konto!U316</f>
        <v>-25000</v>
      </c>
      <c r="F126" s="1">
        <f>Konto!V316</f>
        <v>-49130</v>
      </c>
      <c r="G126" s="1">
        <f>Konto!W316</f>
        <v>-25000</v>
      </c>
    </row>
    <row r="127" spans="1:7" x14ac:dyDescent="0.4">
      <c r="A127" t="s">
        <v>71</v>
      </c>
      <c r="B127" s="1">
        <f>+Konto!O317</f>
        <v>-67434</v>
      </c>
      <c r="C127" s="1">
        <f>+Konto!S317</f>
        <v>-90000</v>
      </c>
      <c r="D127" s="1">
        <f>+Konto!T317</f>
        <v>-43000</v>
      </c>
      <c r="E127" s="1">
        <f>+Konto!U317</f>
        <v>-55000</v>
      </c>
      <c r="F127" s="1">
        <f>Konto!V317</f>
        <v>-44006</v>
      </c>
      <c r="G127" s="1">
        <f>+Konto!W317</f>
        <v>-55000</v>
      </c>
    </row>
    <row r="128" spans="1:7" x14ac:dyDescent="0.4">
      <c r="A128" t="s">
        <v>72</v>
      </c>
      <c r="B128" s="1">
        <f>+Konto!O320</f>
        <v>-357</v>
      </c>
      <c r="C128" s="1">
        <f>+Konto!S319</f>
        <v>0</v>
      </c>
      <c r="D128" s="1">
        <f>Konto!T319+Konto!T324</f>
        <v>0</v>
      </c>
      <c r="E128" s="1">
        <f>+Konto!U319</f>
        <v>0</v>
      </c>
      <c r="F128" s="1"/>
      <c r="G128" s="1">
        <f>+Konto!W319</f>
        <v>0</v>
      </c>
    </row>
    <row r="129" spans="1:7" x14ac:dyDescent="0.4">
      <c r="A129" t="s">
        <v>73</v>
      </c>
      <c r="B129" s="1"/>
      <c r="C129" s="1">
        <f>+Konto!S322</f>
        <v>0</v>
      </c>
      <c r="D129" s="1">
        <f>+Konto!T322</f>
        <v>0</v>
      </c>
      <c r="E129" s="1">
        <f>+Konto!U322</f>
        <v>0</v>
      </c>
      <c r="F129" s="1">
        <f>+Konto!V322</f>
        <v>0</v>
      </c>
      <c r="G129" s="1">
        <f>+Konto!W322</f>
        <v>0</v>
      </c>
    </row>
    <row r="130" spans="1:7" x14ac:dyDescent="0.4">
      <c r="A130" t="s">
        <v>74</v>
      </c>
      <c r="B130" s="1">
        <f>+Konto!O321</f>
        <v>-683740</v>
      </c>
      <c r="C130" s="1"/>
      <c r="D130" s="1"/>
      <c r="E130" s="1"/>
      <c r="F130" s="1"/>
      <c r="G130" s="1"/>
    </row>
    <row r="131" spans="1:7" x14ac:dyDescent="0.4">
      <c r="A131" t="s">
        <v>75</v>
      </c>
      <c r="B131" s="1">
        <f>+Konto!O322</f>
        <v>-1170000</v>
      </c>
      <c r="C131" s="1"/>
      <c r="D131" s="1"/>
      <c r="E131" s="1"/>
      <c r="F131" s="1"/>
      <c r="G131" s="1"/>
    </row>
    <row r="132" spans="1:7" x14ac:dyDescent="0.4">
      <c r="A132" t="s">
        <v>76</v>
      </c>
      <c r="B132" s="1">
        <f>+Konto!O323</f>
        <v>-137500</v>
      </c>
      <c r="C132" s="1">
        <f>+Konto!S323</f>
        <v>-155000</v>
      </c>
      <c r="D132" s="1">
        <f>+Konto!T323</f>
        <v>-328000</v>
      </c>
      <c r="E132" s="1">
        <f>+Konto!U323</f>
        <v>-290000</v>
      </c>
      <c r="F132" s="1">
        <f>Konto!V323+Konto!V324</f>
        <v>-11965</v>
      </c>
      <c r="G132" s="1">
        <f>+Konto!W323</f>
        <v>-290000</v>
      </c>
    </row>
    <row r="133" spans="1:7" x14ac:dyDescent="0.4">
      <c r="A133" t="s">
        <v>77</v>
      </c>
      <c r="B133" s="1"/>
      <c r="C133" s="1">
        <f>+Konto!S325</f>
        <v>-65500</v>
      </c>
      <c r="D133" s="1">
        <f>+Konto!T325</f>
        <v>-65500</v>
      </c>
      <c r="E133" s="1"/>
      <c r="F133" s="1"/>
      <c r="G133" s="1"/>
    </row>
    <row r="134" spans="1:7" x14ac:dyDescent="0.4">
      <c r="A134" s="15" t="s">
        <v>26</v>
      </c>
      <c r="B134" s="20">
        <f t="shared" ref="B134:G134" si="11">SUM(B125:B133)</f>
        <v>-2667715</v>
      </c>
      <c r="C134" s="20">
        <f t="shared" si="11"/>
        <v>-1498000</v>
      </c>
      <c r="D134" s="20">
        <f t="shared" si="11"/>
        <v>-1476000</v>
      </c>
      <c r="E134" s="20">
        <f t="shared" si="11"/>
        <v>-1606500</v>
      </c>
      <c r="F134" s="20">
        <f t="shared" si="11"/>
        <v>-1274736</v>
      </c>
      <c r="G134" s="20">
        <f t="shared" si="11"/>
        <v>-1606500</v>
      </c>
    </row>
    <row r="135" spans="1:7" x14ac:dyDescent="0.4">
      <c r="A135" s="18" t="s">
        <v>27</v>
      </c>
      <c r="B135" s="19">
        <f t="shared" ref="B135:G135" si="12">SUM(B123+B134)</f>
        <v>-300631</v>
      </c>
      <c r="C135" s="19">
        <f t="shared" si="12"/>
        <v>0</v>
      </c>
      <c r="D135" s="19">
        <f t="shared" si="12"/>
        <v>0</v>
      </c>
      <c r="E135" s="19">
        <f t="shared" si="12"/>
        <v>0</v>
      </c>
      <c r="F135" s="19">
        <f t="shared" si="12"/>
        <v>355227</v>
      </c>
      <c r="G135" s="19">
        <f t="shared" si="12"/>
        <v>0</v>
      </c>
    </row>
    <row r="138" spans="1:7" x14ac:dyDescent="0.4">
      <c r="A138" s="10" t="s">
        <v>78</v>
      </c>
      <c r="B138" s="10"/>
      <c r="C138" s="10"/>
      <c r="D138" s="10"/>
      <c r="E138" s="10"/>
      <c r="F138" s="10"/>
      <c r="G138" s="10"/>
    </row>
    <row r="139" spans="1:7" x14ac:dyDescent="0.4">
      <c r="A139" t="s">
        <v>7</v>
      </c>
      <c r="B139" s="1">
        <f>+Konto!O328+Konto!O329+Konto!O331+Konto!O332+Konto!O333+Konto!O334</f>
        <v>1412294</v>
      </c>
      <c r="C139" s="1">
        <f>+Konto!S328+Konto!S329+Konto!S331+Konto!S332+Konto!S333+Konto!S334</f>
        <v>2126000</v>
      </c>
      <c r="D139" s="1">
        <f>+Konto!T328+Konto!T329+Konto!T330+Konto!T331+Konto!T332+Konto!T333+Konto!T334</f>
        <v>2012000</v>
      </c>
      <c r="E139" s="1">
        <f>+Konto!U328+Konto!U329+Konto!U331+Konto!U332+Konto!U333+Konto!U334</f>
        <v>2247000</v>
      </c>
      <c r="F139" s="1">
        <f>+Konto!V328+Konto!V329+Konto!V330+Konto!V331+Konto!V332+Konto!V333+Konto!V334</f>
        <v>1593999</v>
      </c>
      <c r="G139" s="1">
        <f>+Konto!W328+Konto!W329+Konto!W330+Konto!W331+Konto!W332+Konto!W333+Konto!W334</f>
        <v>2312000</v>
      </c>
    </row>
    <row r="140" spans="1:7" x14ac:dyDescent="0.4">
      <c r="A140" t="s">
        <v>8</v>
      </c>
      <c r="B140" s="1">
        <f>+Konto!O335+Konto!O336+Konto!O337+Konto!O340+Konto!O341+Konto!O342+Konto!O343+Konto!O344+Konto!O345+Konto!O346+Konto!O348</f>
        <v>8767</v>
      </c>
      <c r="C140" s="1">
        <f>+Konto!S335+Konto!S339+Konto!S340+Konto!S341+Konto!S342+Konto!S343+Konto!S344+Konto!S347+Konto!S348</f>
        <v>30500</v>
      </c>
      <c r="D140" s="1">
        <f>+Konto!T335+Konto!T336+Konto!T337+Konto!T338+Konto!T339+Konto!T340+Konto!T341+Konto!T342+Konto!T343+Konto!T344+Konto!T345+Konto!T346+Konto!T347+Konto!T348</f>
        <v>61000</v>
      </c>
      <c r="E140" s="1">
        <f>+Konto!U335+Konto!U339+Konto!U340+Konto!U341+Konto!U342+Konto!U343+Konto!U344+Konto!U347+Konto!U348</f>
        <v>24500</v>
      </c>
      <c r="F140" s="1">
        <f>+Konto!V335+Konto!V336+Konto!V337+Konto!V338+Konto!V339+Konto!V340+Konto!V341+Konto!V342+Konto!V343+Konto!V344+Konto!V345+Konto!V346+Konto!V347+Konto!V348</f>
        <v>-7474</v>
      </c>
      <c r="G140" s="1">
        <f>+Konto!W335+Konto!W336+Konto!W337+Konto!W338+Konto!W339+Konto!W340+Konto!W341+Konto!W342+Konto!W343+Konto!W344+Konto!W345+Konto!W346+Konto!W347+Konto!W348</f>
        <v>19000</v>
      </c>
    </row>
    <row r="141" spans="1:7" x14ac:dyDescent="0.4">
      <c r="A141" t="s">
        <v>11</v>
      </c>
      <c r="B141" s="1">
        <f>+Konto!O350</f>
        <v>305</v>
      </c>
      <c r="C141" s="1">
        <f>+Konto!S350</f>
        <v>10000</v>
      </c>
      <c r="D141" s="1">
        <f>+Konto!T350</f>
        <v>10000</v>
      </c>
      <c r="E141" s="1">
        <f>+Konto!U350</f>
        <v>7000</v>
      </c>
      <c r="F141" s="1">
        <f>+Konto!V350</f>
        <v>1360</v>
      </c>
      <c r="G141" s="1">
        <f>+Konto!W350</f>
        <v>6000</v>
      </c>
    </row>
    <row r="142" spans="1:7" x14ac:dyDescent="0.4">
      <c r="A142" t="s">
        <v>79</v>
      </c>
      <c r="B142" s="1"/>
      <c r="C142" s="1"/>
      <c r="D142" s="1">
        <f>Konto!T349</f>
        <v>200000</v>
      </c>
      <c r="E142" s="1">
        <f>Konto!U349</f>
        <v>200000</v>
      </c>
      <c r="F142" s="1">
        <f>Konto!V349</f>
        <v>200000</v>
      </c>
      <c r="G142" s="1">
        <f>Konto!W349</f>
        <v>200000</v>
      </c>
    </row>
    <row r="143" spans="1:7" x14ac:dyDescent="0.4">
      <c r="A143" t="s">
        <v>80</v>
      </c>
      <c r="B143" s="1"/>
      <c r="C143" s="1"/>
      <c r="D143" s="1"/>
      <c r="E143" s="1"/>
      <c r="F143" s="1"/>
      <c r="G143" s="1"/>
    </row>
    <row r="144" spans="1:7" x14ac:dyDescent="0.4">
      <c r="A144" t="s">
        <v>81</v>
      </c>
      <c r="B144" s="1"/>
      <c r="C144" s="1">
        <f>+Konto!S351</f>
        <v>200000</v>
      </c>
      <c r="D144" s="1">
        <f>+Konto!T351</f>
        <v>0</v>
      </c>
      <c r="E144" s="1">
        <v>0</v>
      </c>
      <c r="F144" s="1">
        <v>0</v>
      </c>
      <c r="G144" s="1">
        <v>0</v>
      </c>
    </row>
    <row r="145" spans="1:7" x14ac:dyDescent="0.4">
      <c r="A145" s="16" t="s">
        <v>14</v>
      </c>
      <c r="B145" s="12">
        <f>SUM(B139:B141)</f>
        <v>1421366</v>
      </c>
      <c r="C145" s="12">
        <f>SUM(C139:C144)</f>
        <v>2366500</v>
      </c>
      <c r="D145" s="12">
        <f>SUM(D139:D144)</f>
        <v>2283000</v>
      </c>
      <c r="E145" s="12">
        <f>SUM(E139:E144)</f>
        <v>2478500</v>
      </c>
      <c r="F145" s="12">
        <f>SUM(F139:F144)</f>
        <v>1787885</v>
      </c>
      <c r="G145" s="12">
        <f>SUM(G139:G144)</f>
        <v>2537000</v>
      </c>
    </row>
    <row r="147" spans="1:7" x14ac:dyDescent="0.4">
      <c r="A147" t="s">
        <v>20</v>
      </c>
      <c r="C147" s="1">
        <f>Konto!S362</f>
        <v>0</v>
      </c>
      <c r="D147" s="1">
        <f>Konto!T362</f>
        <v>0</v>
      </c>
      <c r="F147" s="1">
        <f>Konto!V362</f>
        <v>0</v>
      </c>
      <c r="G147" s="1">
        <f>Konto!W362</f>
        <v>0</v>
      </c>
    </row>
    <row r="148" spans="1:7" x14ac:dyDescent="0.4">
      <c r="A148" t="s">
        <v>82</v>
      </c>
      <c r="C148" s="1"/>
      <c r="D148" s="1"/>
      <c r="F148" s="1">
        <f>Konto!V358</f>
        <v>-23338</v>
      </c>
      <c r="G148" s="1">
        <f>Konto!W358</f>
        <v>-25000</v>
      </c>
    </row>
    <row r="149" spans="1:7" x14ac:dyDescent="0.4">
      <c r="A149" t="s">
        <v>83</v>
      </c>
      <c r="B149" s="1">
        <f>+Konto!O363</f>
        <v>-339650</v>
      </c>
      <c r="C149" s="1">
        <f>+Konto!S363</f>
        <v>-370000</v>
      </c>
      <c r="D149" s="1">
        <f>+Konto!T363</f>
        <v>-370000</v>
      </c>
      <c r="E149" s="1">
        <f>+Konto!U363</f>
        <v>-385000</v>
      </c>
      <c r="F149" s="1">
        <f>+Konto!V363</f>
        <v>-250000</v>
      </c>
      <c r="G149" s="1">
        <f>+Konto!W363</f>
        <v>-400000</v>
      </c>
    </row>
    <row r="150" spans="1:7" x14ac:dyDescent="0.4">
      <c r="A150" t="s">
        <v>22</v>
      </c>
      <c r="B150" s="1">
        <f>+Konto!O364</f>
        <v>-1912000</v>
      </c>
      <c r="C150" s="1">
        <f>+Konto!S364</f>
        <v>-1776000</v>
      </c>
      <c r="D150" s="1">
        <f>+Konto!T364</f>
        <v>-1776000</v>
      </c>
      <c r="E150" s="1">
        <f>+Konto!U364</f>
        <v>-1869350</v>
      </c>
      <c r="F150" s="1">
        <f>+Konto!V364</f>
        <v>-1877750</v>
      </c>
      <c r="G150" s="1">
        <f>+Konto!W364</f>
        <v>-1877500</v>
      </c>
    </row>
    <row r="151" spans="1:7" x14ac:dyDescent="0.4">
      <c r="A151" t="s">
        <v>72</v>
      </c>
      <c r="B151" s="1">
        <f>+Konto!O358+Konto!O361</f>
        <v>-5200</v>
      </c>
      <c r="C151" s="1"/>
      <c r="D151" s="1">
        <f>Konto!T358+Konto!T361+Konto!T365</f>
        <v>-27000</v>
      </c>
      <c r="E151" s="1"/>
      <c r="F151" s="1">
        <f>Konto!V361</f>
        <v>-544</v>
      </c>
      <c r="G151" s="1">
        <f>Konto!W361</f>
        <v>-1000</v>
      </c>
    </row>
    <row r="152" spans="1:7" x14ac:dyDescent="0.4">
      <c r="A152" t="s">
        <v>11</v>
      </c>
      <c r="B152" s="1">
        <f>+Konto!O359</f>
        <v>-304</v>
      </c>
      <c r="C152" s="1">
        <f>Konto!S359</f>
        <v>-10000</v>
      </c>
      <c r="D152" s="1">
        <f>Konto!T359</f>
        <v>-10000</v>
      </c>
      <c r="E152" s="1"/>
      <c r="F152" s="1">
        <f>Konto!V359</f>
        <v>-1360</v>
      </c>
      <c r="G152" s="1">
        <f>Konto!W359</f>
        <v>-6000</v>
      </c>
    </row>
    <row r="153" spans="1:7" x14ac:dyDescent="0.4">
      <c r="A153" t="s">
        <v>53</v>
      </c>
      <c r="B153" s="1"/>
      <c r="C153" s="1">
        <f>Konto!S366</f>
        <v>-210500</v>
      </c>
      <c r="D153" s="1">
        <f>Konto!T366</f>
        <v>-100000</v>
      </c>
      <c r="E153" s="1"/>
      <c r="F153" s="1">
        <f>Konto!V366</f>
        <v>0</v>
      </c>
      <c r="G153" s="1">
        <f>Konto!W366</f>
        <v>0</v>
      </c>
    </row>
    <row r="154" spans="1:7" x14ac:dyDescent="0.4">
      <c r="A154" s="16" t="s">
        <v>26</v>
      </c>
      <c r="B154" s="12">
        <f>SUM(B149:B152)</f>
        <v>-2257154</v>
      </c>
      <c r="C154" s="12">
        <f>SUM(C149:C153)</f>
        <v>-2366500</v>
      </c>
      <c r="D154" s="12">
        <f>SUM(D147:D153)</f>
        <v>-2283000</v>
      </c>
      <c r="E154" s="12">
        <f>SUM(E149:E152)</f>
        <v>-2254350</v>
      </c>
      <c r="F154" s="12">
        <f>SUM(F147:F153)</f>
        <v>-2152992</v>
      </c>
      <c r="G154" s="12">
        <f>SUM(G147:G153)</f>
        <v>-2309500</v>
      </c>
    </row>
    <row r="155" spans="1:7" x14ac:dyDescent="0.4">
      <c r="A155" s="18" t="s">
        <v>27</v>
      </c>
      <c r="B155" s="19">
        <f>SUM(B145+B154)</f>
        <v>-835788</v>
      </c>
      <c r="C155" s="38">
        <f>+C145+C154</f>
        <v>0</v>
      </c>
      <c r="D155" s="38">
        <f>+D145+D154</f>
        <v>0</v>
      </c>
      <c r="E155" s="38">
        <f>+E145+E154</f>
        <v>224150</v>
      </c>
      <c r="F155" s="38">
        <f>+F145+F154</f>
        <v>-365107</v>
      </c>
      <c r="G155" s="38">
        <f>+G145+G154</f>
        <v>227500</v>
      </c>
    </row>
    <row r="157" spans="1:7" x14ac:dyDescent="0.4">
      <c r="A157" s="10" t="s">
        <v>84</v>
      </c>
      <c r="B157" s="45"/>
      <c r="C157" s="10"/>
      <c r="D157" s="10"/>
      <c r="E157" s="10"/>
      <c r="F157" s="10"/>
      <c r="G157" s="10"/>
    </row>
    <row r="158" spans="1:7" x14ac:dyDescent="0.4">
      <c r="A158" t="s">
        <v>85</v>
      </c>
      <c r="G158">
        <f>Konto!W370</f>
        <v>188061</v>
      </c>
    </row>
    <row r="159" spans="1:7" x14ac:dyDescent="0.4">
      <c r="A159" t="s">
        <v>86</v>
      </c>
      <c r="F159" s="1">
        <f>Konto!V373+Konto!V374+Konto!V375</f>
        <v>70985</v>
      </c>
      <c r="G159">
        <f>Konto!W373+Konto!W374+Konto!W375</f>
        <v>84000</v>
      </c>
    </row>
    <row r="160" spans="1:7" x14ac:dyDescent="0.4">
      <c r="A160" t="s">
        <v>11</v>
      </c>
      <c r="F160" s="1">
        <f>Konto!V376</f>
        <v>17746</v>
      </c>
      <c r="G160">
        <f>Konto!W376</f>
        <v>20000</v>
      </c>
    </row>
    <row r="161" spans="1:7" x14ac:dyDescent="0.4">
      <c r="A161" s="16" t="s">
        <v>14</v>
      </c>
      <c r="B161" s="47"/>
      <c r="C161" s="50"/>
      <c r="D161" s="50"/>
      <c r="E161" s="50"/>
      <c r="F161" s="12">
        <f>SUM(F159:F160)</f>
        <v>88731</v>
      </c>
      <c r="G161" s="50">
        <f>SUM(G158:G160)</f>
        <v>292061</v>
      </c>
    </row>
    <row r="162" spans="1:7" x14ac:dyDescent="0.4">
      <c r="A162" s="46"/>
    </row>
    <row r="163" spans="1:7" x14ac:dyDescent="0.4">
      <c r="A163" s="22" t="s">
        <v>87</v>
      </c>
      <c r="F163" s="1">
        <f>Konto!V380</f>
        <v>-272061</v>
      </c>
      <c r="G163">
        <f>Konto!W380</f>
        <v>-272061</v>
      </c>
    </row>
    <row r="164" spans="1:7" x14ac:dyDescent="0.4">
      <c r="A164" s="22" t="s">
        <v>11</v>
      </c>
      <c r="F164" s="1">
        <f>Konto!V379</f>
        <v>-17746</v>
      </c>
      <c r="G164">
        <f>Konto!W379</f>
        <v>-20000</v>
      </c>
    </row>
    <row r="165" spans="1:7" x14ac:dyDescent="0.4">
      <c r="A165" s="15" t="s">
        <v>26</v>
      </c>
      <c r="B165" s="47"/>
      <c r="C165" s="50"/>
      <c r="D165" s="50"/>
      <c r="E165" s="50"/>
      <c r="F165" s="12">
        <f>SUM(F163:F164)</f>
        <v>-289807</v>
      </c>
      <c r="G165" s="50">
        <f>SUM(G163:G164)</f>
        <v>-292061</v>
      </c>
    </row>
    <row r="166" spans="1:7" x14ac:dyDescent="0.4">
      <c r="A166" s="48" t="s">
        <v>54</v>
      </c>
      <c r="C166" s="18"/>
      <c r="D166" s="18"/>
      <c r="E166" s="18"/>
      <c r="F166" s="19">
        <f>F161+F165</f>
        <v>-201076</v>
      </c>
      <c r="G166" s="18">
        <f>G161+G165</f>
        <v>0</v>
      </c>
    </row>
    <row r="167" spans="1:7" x14ac:dyDescent="0.4">
      <c r="A167" s="46"/>
    </row>
    <row r="168" spans="1:7" x14ac:dyDescent="0.4">
      <c r="A168" s="10" t="s">
        <v>88</v>
      </c>
      <c r="B168" s="10"/>
      <c r="C168" s="10"/>
      <c r="D168" s="10"/>
      <c r="E168" s="10"/>
      <c r="F168" s="10"/>
      <c r="G168" s="10"/>
    </row>
    <row r="169" spans="1:7" x14ac:dyDescent="0.4">
      <c r="A169" t="s">
        <v>89</v>
      </c>
      <c r="B169" s="1">
        <f>+Konto!O383+Konto!O384+Konto!O385+Konto!O386+Konto!O387+Konto!O388+Konto!O389+Konto!O390+Konto!O397+Konto!O400</f>
        <v>2058591</v>
      </c>
      <c r="C169" s="1">
        <f>+Konto!S383+Konto!S384+Konto!S385+Konto!S386+Konto!S388+Konto!S389+Konto!S390</f>
        <v>1909000</v>
      </c>
      <c r="D169" s="1">
        <f>+Konto!T383+Konto!T384+Konto!T385+Konto!T386+Konto!T387+Konto!T388+Konto!T389+Konto!T390</f>
        <v>1909000</v>
      </c>
      <c r="E169" s="1">
        <f>+Konto!U383+Konto!U384+Konto!U385+Konto!U386+Konto!U388+Konto!U389+Konto!U390</f>
        <v>2119000</v>
      </c>
      <c r="F169" s="1">
        <f>+Konto!V383+Konto!V384+Konto!V385+Konto!V386+Konto!V388+Konto!V389+Konto!V390</f>
        <v>1686710</v>
      </c>
      <c r="G169" s="1">
        <f>+Konto!W383+Konto!W384+Konto!W385+Konto!W386+Konto!W388+Konto!W389+Konto!W390</f>
        <v>2008500</v>
      </c>
    </row>
    <row r="170" spans="1:7" x14ac:dyDescent="0.4">
      <c r="A170" t="s">
        <v>90</v>
      </c>
      <c r="B170" s="1"/>
      <c r="C170" s="1"/>
      <c r="D170" s="1">
        <f>Konto!T394+Konto!T395+Konto!T397+Konto!T398+Konto!T399+Konto!T400</f>
        <v>27100</v>
      </c>
      <c r="E170" s="1"/>
      <c r="F170" s="1">
        <f>Konto!V394+Konto!V395+Konto!V396+Konto!V397+Konto!V398+Konto!V399+Konto!V400</f>
        <v>13749</v>
      </c>
      <c r="G170" s="1">
        <f>Konto!W394+Konto!W395+Konto!W396+Konto!W397+Konto!W398+Konto!W399+Konto!W400</f>
        <v>30300</v>
      </c>
    </row>
    <row r="171" spans="1:7" x14ac:dyDescent="0.4">
      <c r="A171" t="s">
        <v>91</v>
      </c>
      <c r="B171" s="1"/>
      <c r="C171" s="1"/>
      <c r="D171" s="1">
        <f>Konto!T404</f>
        <v>0</v>
      </c>
      <c r="E171" s="1"/>
      <c r="F171" s="1"/>
      <c r="G171" s="1"/>
    </row>
    <row r="172" spans="1:7" x14ac:dyDescent="0.4">
      <c r="A172" t="s">
        <v>11</v>
      </c>
      <c r="B172" s="1"/>
      <c r="C172" s="1"/>
      <c r="D172" s="1">
        <f>Konto!T405</f>
        <v>10000</v>
      </c>
      <c r="E172" s="1"/>
      <c r="F172" s="1"/>
      <c r="G172" s="1"/>
    </row>
    <row r="173" spans="1:7" x14ac:dyDescent="0.4">
      <c r="A173" s="16" t="s">
        <v>14</v>
      </c>
      <c r="B173" s="12">
        <f>SUM(B169)</f>
        <v>2058591</v>
      </c>
      <c r="C173" s="12">
        <f>SUM(C169)</f>
        <v>1909000</v>
      </c>
      <c r="D173" s="12">
        <f>SUM(D169:D172)</f>
        <v>1946100</v>
      </c>
      <c r="E173" s="12">
        <f>SUM(E169)</f>
        <v>2119000</v>
      </c>
      <c r="F173" s="12">
        <f>SUM(F169:F172)</f>
        <v>1700459</v>
      </c>
      <c r="G173" s="12">
        <f>SUM(G169:G172)</f>
        <v>2038800</v>
      </c>
    </row>
    <row r="174" spans="1:7" x14ac:dyDescent="0.4">
      <c r="B174" s="1"/>
      <c r="C174" s="1"/>
      <c r="D174" s="1"/>
    </row>
    <row r="175" spans="1:7" x14ac:dyDescent="0.4">
      <c r="A175" t="s">
        <v>92</v>
      </c>
      <c r="B175" s="1">
        <f>+Konto!O412</f>
        <v>-25827</v>
      </c>
      <c r="D175">
        <f>Konto!T413</f>
        <v>-20000</v>
      </c>
      <c r="F175">
        <f>Konto!V413</f>
        <v>-8460</v>
      </c>
      <c r="G175">
        <f>Konto!W413</f>
        <v>0</v>
      </c>
    </row>
    <row r="176" spans="1:7" x14ac:dyDescent="0.4">
      <c r="A176" t="s">
        <v>93</v>
      </c>
      <c r="B176" s="1">
        <f>+Konto!O415</f>
        <v>-1715308</v>
      </c>
      <c r="C176" s="1">
        <f>+Konto!S415</f>
        <v>-1909000</v>
      </c>
      <c r="D176" s="1">
        <f>+Konto!T415</f>
        <v>-1915100</v>
      </c>
      <c r="E176" s="1">
        <f>+Konto!U415</f>
        <v>-2119000</v>
      </c>
      <c r="F176" s="1">
        <f>+Konto!V415+Konto!V416</f>
        <v>-1706577</v>
      </c>
      <c r="G176" s="1">
        <f>+Konto!W415+Konto!W416</f>
        <v>-2038800</v>
      </c>
    </row>
    <row r="177" spans="1:7" x14ac:dyDescent="0.4">
      <c r="A177" t="s">
        <v>11</v>
      </c>
      <c r="B177" s="1"/>
      <c r="C177" s="1"/>
      <c r="D177" s="1">
        <f>Konto!T414</f>
        <v>-10000</v>
      </c>
      <c r="E177" s="1"/>
      <c r="F177" s="1">
        <f>Konto!V414</f>
        <v>0</v>
      </c>
      <c r="G177" s="1">
        <f>Konto!W414</f>
        <v>0</v>
      </c>
    </row>
    <row r="178" spans="1:7" x14ac:dyDescent="0.4">
      <c r="A178" t="s">
        <v>51</v>
      </c>
      <c r="B178" s="1">
        <f>+Konto!O417</f>
        <v>-1666</v>
      </c>
      <c r="C178" s="1"/>
      <c r="D178" s="1">
        <f>Konto!T418</f>
        <v>-1000</v>
      </c>
      <c r="E178" s="1"/>
      <c r="F178" s="1">
        <f>Konto!V417</f>
        <v>-833</v>
      </c>
      <c r="G178" s="1">
        <f>Konto!W417</f>
        <v>0</v>
      </c>
    </row>
    <row r="179" spans="1:7" x14ac:dyDescent="0.4">
      <c r="A179" s="16" t="s">
        <v>94</v>
      </c>
      <c r="B179" s="12">
        <f>SUM(B175:B178)</f>
        <v>-1742801</v>
      </c>
      <c r="C179" s="12">
        <f>SUM(C175:C176)</f>
        <v>-1909000</v>
      </c>
      <c r="D179" s="12">
        <f>SUM(D175:D178)</f>
        <v>-1946100</v>
      </c>
      <c r="E179" s="12">
        <f>SUM(E175:E176)</f>
        <v>-2119000</v>
      </c>
      <c r="F179" s="12">
        <f>SUM(F175:F178)</f>
        <v>-1715870</v>
      </c>
      <c r="G179" s="12">
        <f>SUM(G175:G178)</f>
        <v>-2038800</v>
      </c>
    </row>
    <row r="180" spans="1:7" x14ac:dyDescent="0.4">
      <c r="A180" s="18" t="s">
        <v>27</v>
      </c>
      <c r="B180" s="19">
        <f t="shared" ref="B180:G180" si="13">SUM(B173+B179)</f>
        <v>315790</v>
      </c>
      <c r="C180" s="19">
        <f t="shared" si="13"/>
        <v>0</v>
      </c>
      <c r="D180" s="19">
        <f t="shared" si="13"/>
        <v>0</v>
      </c>
      <c r="E180" s="19">
        <f t="shared" si="13"/>
        <v>0</v>
      </c>
      <c r="F180" s="19">
        <f t="shared" si="13"/>
        <v>-15411</v>
      </c>
      <c r="G180" s="19">
        <f t="shared" si="13"/>
        <v>0</v>
      </c>
    </row>
    <row r="181" spans="1:7" x14ac:dyDescent="0.4">
      <c r="B181" s="1"/>
      <c r="G181" t="s">
        <v>95</v>
      </c>
    </row>
    <row r="182" spans="1:7" x14ac:dyDescent="0.4">
      <c r="B182" s="1"/>
    </row>
    <row r="183" spans="1:7" x14ac:dyDescent="0.4">
      <c r="B183" s="1" t="e">
        <f>+B25+B52+B74+B96+B112+B135+B155+#REF!+B180</f>
        <v>#REF!</v>
      </c>
      <c r="C183" s="1">
        <f>+C22+C48+C71+C93+C110+C153</f>
        <v>-724500</v>
      </c>
      <c r="D183" s="1"/>
    </row>
    <row r="184" spans="1:7" ht="15" thickBot="1" x14ac:dyDescent="0.45">
      <c r="A184" s="25"/>
      <c r="B184" s="21"/>
      <c r="C184" s="21"/>
      <c r="D184" s="1"/>
    </row>
    <row r="185" spans="1:7" ht="15.45" thickTop="1" thickBot="1" x14ac:dyDescent="0.45">
      <c r="A185" s="27" t="s">
        <v>96</v>
      </c>
      <c r="B185" s="26"/>
      <c r="C185" s="26">
        <f>SUM(C183:C184)</f>
        <v>-724500</v>
      </c>
      <c r="D185" s="1"/>
    </row>
    <row r="186" spans="1:7" ht="15" thickTop="1" x14ac:dyDescent="0.4"/>
    <row r="188" spans="1:7" x14ac:dyDescent="0.4">
      <c r="B188" s="1" t="s">
        <v>97</v>
      </c>
    </row>
    <row r="189" spans="1:7" x14ac:dyDescent="0.4">
      <c r="A189" t="s">
        <v>98</v>
      </c>
      <c r="B189" s="1" t="s">
        <v>98</v>
      </c>
      <c r="C189" s="1">
        <f>+C10+C24</f>
        <v>12500</v>
      </c>
      <c r="D189" s="1">
        <f>Konto!T41+Konto!T58</f>
        <v>-53000</v>
      </c>
      <c r="E189" s="1">
        <f>Konto!U41+Konto!U58</f>
        <v>-120700</v>
      </c>
      <c r="F189" s="51">
        <f>Konto!V41+Konto!V58</f>
        <v>-2098212</v>
      </c>
      <c r="G189" s="51">
        <f>Konto!W41+Konto!W58</f>
        <v>-124900</v>
      </c>
    </row>
    <row r="190" spans="1:7" x14ac:dyDescent="0.4">
      <c r="A190" t="s">
        <v>99</v>
      </c>
      <c r="B190" s="1" t="s">
        <v>99</v>
      </c>
      <c r="C190" s="1">
        <f>Konto!S124+Konto!S104</f>
        <v>-280000</v>
      </c>
      <c r="D190" s="1">
        <f>D51+D37</f>
        <v>819250</v>
      </c>
      <c r="E190" s="1">
        <f>Konto!U104+Konto!U124</f>
        <v>-733600</v>
      </c>
      <c r="F190" s="51">
        <f>Konto!V104+Konto!V124</f>
        <v>-5973751</v>
      </c>
      <c r="G190" s="51">
        <f>Konto!W104+Konto!W124</f>
        <v>479100</v>
      </c>
    </row>
    <row r="191" spans="1:7" x14ac:dyDescent="0.4">
      <c r="A191" t="s">
        <v>100</v>
      </c>
      <c r="B191" s="1" t="s">
        <v>100</v>
      </c>
      <c r="C191" s="1">
        <f>Konto!S190+Konto!S172</f>
        <v>267500</v>
      </c>
      <c r="D191" s="1">
        <f>D62+D73</f>
        <v>126400</v>
      </c>
      <c r="E191" s="1">
        <f>Konto!U190+Konto!U172</f>
        <v>630150</v>
      </c>
      <c r="F191" s="51">
        <f>Konto!V190+Konto!V172</f>
        <v>-1809124</v>
      </c>
      <c r="G191" s="1">
        <f>Konto!W190+Konto!W172</f>
        <v>569400</v>
      </c>
    </row>
    <row r="192" spans="1:7" x14ac:dyDescent="0.4">
      <c r="A192" t="s">
        <v>101</v>
      </c>
      <c r="B192" s="1" t="s">
        <v>101</v>
      </c>
      <c r="C192" s="1">
        <f>+C103+C111</f>
        <v>0</v>
      </c>
      <c r="D192" s="1">
        <f>Konto!T230+Konto!T244</f>
        <v>0</v>
      </c>
      <c r="E192" s="1">
        <f>+E103+E111</f>
        <v>0</v>
      </c>
      <c r="F192" s="1">
        <f>Konto!V230+Konto!V244</f>
        <v>2500564</v>
      </c>
      <c r="G192" s="1">
        <f>G84+G95</f>
        <v>0</v>
      </c>
    </row>
    <row r="193" spans="1:9" x14ac:dyDescent="0.4">
      <c r="A193" t="s">
        <v>102</v>
      </c>
      <c r="B193" s="1" t="s">
        <v>102</v>
      </c>
      <c r="C193" s="1">
        <f>Konto!S195+Konto!S174</f>
        <v>0</v>
      </c>
      <c r="D193" s="1">
        <f>Konto!T266+Konto!T273</f>
        <v>0</v>
      </c>
      <c r="E193" s="1">
        <f>Konto!U195+Konto!U174</f>
        <v>0</v>
      </c>
      <c r="F193" s="1">
        <f>F103+F111</f>
        <v>59525</v>
      </c>
      <c r="G193" s="1">
        <f>G103+G111</f>
        <v>0</v>
      </c>
    </row>
    <row r="194" spans="1:9" x14ac:dyDescent="0.4">
      <c r="A194" t="s">
        <v>103</v>
      </c>
      <c r="B194" s="1" t="s">
        <v>103</v>
      </c>
      <c r="C194" s="1">
        <f>+C123+C134</f>
        <v>0</v>
      </c>
      <c r="D194" s="1">
        <f>Konto!T312+Konto!T326</f>
        <v>0</v>
      </c>
      <c r="E194" s="1">
        <f>Konto!U312+Konto!U326</f>
        <v>0</v>
      </c>
      <c r="F194" s="1">
        <f>Konto!V312+Konto!V326</f>
        <v>355227</v>
      </c>
      <c r="G194" s="1">
        <f>Konto!W312+Konto!W326</f>
        <v>0</v>
      </c>
    </row>
    <row r="195" spans="1:9" x14ac:dyDescent="0.4">
      <c r="A195" t="s">
        <v>104</v>
      </c>
      <c r="B195" s="1" t="s">
        <v>104</v>
      </c>
      <c r="C195" s="1">
        <f>+C145+C154</f>
        <v>0</v>
      </c>
      <c r="D195" s="1">
        <f>+D145+D154</f>
        <v>0</v>
      </c>
      <c r="E195" s="1">
        <f>Konto!U353+Konto!U368</f>
        <v>224150</v>
      </c>
      <c r="F195" s="1">
        <f>Konto!V353+Konto!V368</f>
        <v>-365107</v>
      </c>
      <c r="G195" s="1">
        <f>Konto!W353+Konto!W368</f>
        <v>227500</v>
      </c>
    </row>
    <row r="196" spans="1:9" x14ac:dyDescent="0.4">
      <c r="A196" t="s">
        <v>105</v>
      </c>
      <c r="B196" s="1"/>
      <c r="C196" s="1"/>
      <c r="D196" s="1"/>
      <c r="E196" s="1"/>
      <c r="F196" s="1">
        <f>F161+F165</f>
        <v>-201076</v>
      </c>
      <c r="G196" s="1"/>
    </row>
    <row r="197" spans="1:9" x14ac:dyDescent="0.4">
      <c r="A197" t="s">
        <v>106</v>
      </c>
      <c r="B197" s="1" t="s">
        <v>106</v>
      </c>
      <c r="C197" s="1">
        <f>+C173+C179</f>
        <v>0</v>
      </c>
      <c r="D197" s="1">
        <f>+D173+D179</f>
        <v>0</v>
      </c>
      <c r="E197" s="1">
        <f>+E173+E179</f>
        <v>0</v>
      </c>
      <c r="F197" s="1">
        <f>+F173+F179</f>
        <v>-15411</v>
      </c>
      <c r="G197" s="1">
        <f>+G173+G179</f>
        <v>0</v>
      </c>
    </row>
    <row r="198" spans="1:9" x14ac:dyDescent="0.4">
      <c r="B198" s="2"/>
      <c r="C198" s="3">
        <f>SUM(C189:C197)</f>
        <v>0</v>
      </c>
      <c r="D198" s="3">
        <f>SUM(D189:D197)</f>
        <v>892650</v>
      </c>
      <c r="E198" s="3">
        <f>SUM(E189:E197)</f>
        <v>0</v>
      </c>
      <c r="F198" s="3">
        <f>SUM(F189:F197)</f>
        <v>-7547365</v>
      </c>
      <c r="G198" s="3">
        <f>SUM(G189:G197)</f>
        <v>1151100</v>
      </c>
    </row>
    <row r="199" spans="1:9" x14ac:dyDescent="0.4">
      <c r="B199" s="1"/>
    </row>
    <row r="200" spans="1:9" x14ac:dyDescent="0.4">
      <c r="B200" s="1"/>
    </row>
    <row r="201" spans="1:9" x14ac:dyDescent="0.4">
      <c r="A201" t="s">
        <v>107</v>
      </c>
      <c r="C201" s="1">
        <f>+C10+C37+C62+C84+C103+C123+C145+C173</f>
        <v>47476850</v>
      </c>
      <c r="D201" s="1">
        <f>+D10+D37+D62+D84+D103+D123+D145+D173</f>
        <v>49742550</v>
      </c>
      <c r="E201" s="1">
        <f>+E10+E37+E62+E84+E103+E123+E145+E173</f>
        <v>50982500</v>
      </c>
      <c r="F201" s="1">
        <f>+F10+F37+F62+F84+F103+F123+F145+F161+F173</f>
        <v>30349753</v>
      </c>
      <c r="G201" s="1">
        <f>+G10+G37+G62+G84+G103+G123+G145+G161+G173</f>
        <v>51370911</v>
      </c>
    </row>
    <row r="202" spans="1:9" x14ac:dyDescent="0.4">
      <c r="A202" t="s">
        <v>108</v>
      </c>
      <c r="C202" s="29">
        <f>+C24+C51+C73+C95+C111+C134+C154+C179</f>
        <v>-47476850</v>
      </c>
      <c r="D202" s="29">
        <f>+D24+D51+D73+D95+D111+D134+D154+D179</f>
        <v>-48849900</v>
      </c>
      <c r="E202" s="29">
        <f>+E24+E51+E73+E95+E111+E134+E154+E179</f>
        <v>-50982500</v>
      </c>
      <c r="F202" s="29">
        <f>+F24+F51+F73+F95+F111+F134+F154+F165+F179</f>
        <v>-37897118</v>
      </c>
      <c r="G202" s="29">
        <f>+G24+G51+G73+G95+G111+G134+G154+G165+G179</f>
        <v>-50219811</v>
      </c>
    </row>
    <row r="203" spans="1:9" x14ac:dyDescent="0.4">
      <c r="A203" t="s">
        <v>109</v>
      </c>
      <c r="C203" s="1">
        <f>+C25+C52+C74+C155</f>
        <v>0</v>
      </c>
      <c r="D203" s="1">
        <f>D25+D52+D74+D96+D112+D135+D155+D180</f>
        <v>892650</v>
      </c>
      <c r="E203" s="1">
        <f>E25+E52+E74+E96+E112+E135+E155+E180</f>
        <v>0</v>
      </c>
      <c r="F203" s="1">
        <f>F25+F52+F74+F96+F112+F135+F155+F166+F180</f>
        <v>-7547365</v>
      </c>
      <c r="G203" s="1">
        <f>G25+G52+G74+G96+G112+G135+G155+G166+G180</f>
        <v>1151100</v>
      </c>
      <c r="I203" s="1"/>
    </row>
    <row r="204" spans="1:9" x14ac:dyDescent="0.4">
      <c r="A204" t="s">
        <v>110</v>
      </c>
      <c r="B204" t="s">
        <v>111</v>
      </c>
      <c r="C204" s="29">
        <f>+Konto!S243+Konto!S325</f>
        <v>-65500</v>
      </c>
      <c r="D204" s="29">
        <f>+Konto!T192+Konto!T243+Konto!T325</f>
        <v>-65500</v>
      </c>
      <c r="E204" s="29">
        <f>+Konto!U243+Konto!U325</f>
        <v>-496000</v>
      </c>
      <c r="F204" s="29">
        <f>+Konto!V243+Konto!V325</f>
        <v>0</v>
      </c>
      <c r="G204" s="29">
        <f>+Konto!W243+Konto!W325</f>
        <v>-496000</v>
      </c>
    </row>
    <row r="205" spans="1:9" x14ac:dyDescent="0.4">
      <c r="A205" t="s">
        <v>112</v>
      </c>
      <c r="C205" s="1"/>
      <c r="D205" s="1"/>
      <c r="E205" s="1"/>
    </row>
    <row r="206" spans="1:9" x14ac:dyDescent="0.4">
      <c r="A206" t="s">
        <v>113</v>
      </c>
      <c r="E206" s="1"/>
    </row>
    <row r="207" spans="1:9" x14ac:dyDescent="0.4">
      <c r="A207" t="s">
        <v>114</v>
      </c>
      <c r="E207" s="1"/>
      <c r="G207">
        <v>616100</v>
      </c>
      <c r="H207" t="s">
        <v>363</v>
      </c>
    </row>
    <row r="208" spans="1:9" x14ac:dyDescent="0.4">
      <c r="G208">
        <v>535000</v>
      </c>
      <c r="H208" t="s">
        <v>364</v>
      </c>
    </row>
    <row r="209" spans="1:7" x14ac:dyDescent="0.4">
      <c r="G209">
        <f>SUM(G207:G208)</f>
        <v>1151100</v>
      </c>
    </row>
    <row r="211" spans="1:7" x14ac:dyDescent="0.4">
      <c r="A211" t="s">
        <v>115</v>
      </c>
      <c r="E211" s="1">
        <f>E20+E46+E69+E150</f>
        <v>-26705000</v>
      </c>
      <c r="F211" s="1">
        <f>F20+F46+F69+F150</f>
        <v>-26825000</v>
      </c>
      <c r="G211" s="1">
        <f>G20+G46+G69+G150</f>
        <v>-26824750</v>
      </c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29"/>
  <sheetViews>
    <sheetView topLeftCell="C1" zoomScaleNormal="100" workbookViewId="0">
      <pane ySplit="1" topLeftCell="A348" activePane="bottomLeft" state="frozen"/>
      <selection activeCell="C1" sqref="C1"/>
      <selection pane="bottomLeft" activeCell="W367" sqref="W367"/>
    </sheetView>
  </sheetViews>
  <sheetFormatPr baseColWidth="10" defaultColWidth="9.15234375" defaultRowHeight="14.6" x14ac:dyDescent="0.4"/>
  <cols>
    <col min="2" max="2" width="26.4609375" customWidth="1"/>
    <col min="3" max="3" width="14.4609375" customWidth="1"/>
    <col min="4" max="4" width="14.53515625" customWidth="1"/>
    <col min="5" max="5" width="21" customWidth="1"/>
    <col min="6" max="6" width="19.23046875" customWidth="1"/>
    <col min="7" max="7" width="2.53515625" hidden="1" customWidth="1"/>
    <col min="8" max="8" width="45.15234375" hidden="1" customWidth="1"/>
    <col min="9" max="9" width="37.53515625" hidden="1" customWidth="1"/>
    <col min="10" max="10" width="0.4609375" hidden="1" customWidth="1"/>
    <col min="11" max="11" width="11.4609375" hidden="1" customWidth="1"/>
    <col min="12" max="13" width="1.4609375" hidden="1" customWidth="1"/>
    <col min="14" max="14" width="5.53515625" hidden="1" customWidth="1"/>
    <col min="15" max="15" width="15.53515625" hidden="1" customWidth="1"/>
    <col min="16" max="16" width="22.84375" hidden="1" customWidth="1"/>
    <col min="17" max="17" width="19.84375" hidden="1" customWidth="1"/>
    <col min="18" max="18" width="25.4609375" hidden="1" customWidth="1"/>
    <col min="19" max="19" width="12.53515625" hidden="1" customWidth="1"/>
    <col min="20" max="20" width="22.4609375" customWidth="1"/>
    <col min="21" max="22" width="23" customWidth="1"/>
    <col min="23" max="23" width="26.4609375" customWidth="1"/>
    <col min="24" max="24" width="38" customWidth="1"/>
    <col min="25" max="25" width="11.53515625" customWidth="1"/>
  </cols>
  <sheetData>
    <row r="1" spans="1:25" ht="14.15" customHeight="1" x14ac:dyDescent="0.4">
      <c r="A1" t="s">
        <v>116</v>
      </c>
      <c r="B1" t="s">
        <v>117</v>
      </c>
      <c r="C1" t="s">
        <v>118</v>
      </c>
      <c r="D1" t="s">
        <v>119</v>
      </c>
      <c r="E1" t="s">
        <v>117</v>
      </c>
      <c r="F1" t="s">
        <v>120</v>
      </c>
      <c r="G1" t="s">
        <v>117</v>
      </c>
      <c r="H1" t="s">
        <v>121</v>
      </c>
      <c r="I1" t="s">
        <v>117</v>
      </c>
      <c r="J1" t="s">
        <v>122</v>
      </c>
      <c r="K1" t="s">
        <v>117</v>
      </c>
      <c r="L1" t="s">
        <v>123</v>
      </c>
      <c r="M1" t="s">
        <v>124</v>
      </c>
      <c r="O1" t="s">
        <v>0</v>
      </c>
      <c r="P1" t="s">
        <v>125</v>
      </c>
      <c r="Q1" t="s">
        <v>126</v>
      </c>
      <c r="R1" t="s">
        <v>127</v>
      </c>
      <c r="S1" t="s">
        <v>1</v>
      </c>
      <c r="T1" t="s">
        <v>2</v>
      </c>
      <c r="U1" t="s">
        <v>5</v>
      </c>
      <c r="V1" t="s">
        <v>128</v>
      </c>
      <c r="W1" t="s">
        <v>129</v>
      </c>
    </row>
    <row r="2" spans="1:25" x14ac:dyDescent="0.4">
      <c r="A2" t="s">
        <v>130</v>
      </c>
      <c r="B2" t="s">
        <v>131</v>
      </c>
      <c r="C2" t="s">
        <v>14</v>
      </c>
      <c r="D2" t="s">
        <v>132</v>
      </c>
      <c r="E2" t="s">
        <v>133</v>
      </c>
      <c r="H2" t="s">
        <v>134</v>
      </c>
      <c r="L2" s="1">
        <v>1885000</v>
      </c>
      <c r="M2" s="1">
        <v>2107000</v>
      </c>
      <c r="N2" s="1"/>
      <c r="O2" s="1">
        <v>2217680</v>
      </c>
      <c r="P2" s="1">
        <v>1637460</v>
      </c>
      <c r="Q2" s="1">
        <v>1764000</v>
      </c>
      <c r="R2" s="1">
        <v>1764000</v>
      </c>
      <c r="S2" s="1">
        <v>1650000</v>
      </c>
      <c r="T2" s="1">
        <v>1650000</v>
      </c>
      <c r="U2" s="1">
        <v>1725000</v>
      </c>
      <c r="V2" s="1">
        <v>1049562</v>
      </c>
      <c r="W2" s="1">
        <v>1785000</v>
      </c>
    </row>
    <row r="3" spans="1:25" x14ac:dyDescent="0.4">
      <c r="A3" t="s">
        <v>130</v>
      </c>
      <c r="B3" t="s">
        <v>131</v>
      </c>
      <c r="C3" t="s">
        <v>14</v>
      </c>
      <c r="D3" t="s">
        <v>135</v>
      </c>
      <c r="E3" t="s">
        <v>136</v>
      </c>
      <c r="L3" s="1">
        <v>0</v>
      </c>
      <c r="M3" s="1">
        <v>0</v>
      </c>
      <c r="N3" s="1"/>
      <c r="O3" s="1">
        <v>133</v>
      </c>
      <c r="P3" s="1"/>
      <c r="Q3" s="1"/>
      <c r="S3" s="1"/>
      <c r="T3" s="1"/>
    </row>
    <row r="4" spans="1:25" x14ac:dyDescent="0.4">
      <c r="A4" t="s">
        <v>130</v>
      </c>
      <c r="B4" t="s">
        <v>131</v>
      </c>
      <c r="C4" t="s">
        <v>14</v>
      </c>
      <c r="D4" t="s">
        <v>137</v>
      </c>
      <c r="E4" t="s">
        <v>138</v>
      </c>
      <c r="L4" s="1">
        <v>254000</v>
      </c>
      <c r="M4" s="1">
        <v>283000</v>
      </c>
      <c r="N4" s="1"/>
      <c r="O4" s="1">
        <v>0</v>
      </c>
      <c r="P4" s="1"/>
      <c r="Q4" s="1"/>
    </row>
    <row r="5" spans="1:25" x14ac:dyDescent="0.4">
      <c r="A5" t="s">
        <v>130</v>
      </c>
      <c r="B5" t="s">
        <v>131</v>
      </c>
      <c r="C5" t="s">
        <v>14</v>
      </c>
      <c r="D5" t="s">
        <v>139</v>
      </c>
      <c r="E5" t="s">
        <v>140</v>
      </c>
      <c r="L5" s="1">
        <v>0</v>
      </c>
      <c r="M5" s="1">
        <v>2000</v>
      </c>
      <c r="N5" s="1"/>
      <c r="O5" s="1">
        <v>10660</v>
      </c>
      <c r="P5" s="1">
        <v>24934</v>
      </c>
      <c r="Q5" s="1"/>
      <c r="T5">
        <v>25000</v>
      </c>
      <c r="U5">
        <v>30000</v>
      </c>
      <c r="V5" s="1">
        <v>22018</v>
      </c>
      <c r="W5">
        <v>30000</v>
      </c>
    </row>
    <row r="6" spans="1:25" x14ac:dyDescent="0.4">
      <c r="A6" t="s">
        <v>130</v>
      </c>
      <c r="B6" t="s">
        <v>131</v>
      </c>
      <c r="C6" t="s">
        <v>14</v>
      </c>
      <c r="D6" t="s">
        <v>141</v>
      </c>
      <c r="E6" t="s">
        <v>142</v>
      </c>
      <c r="L6" s="1">
        <v>30000</v>
      </c>
      <c r="M6" s="1">
        <v>30000</v>
      </c>
      <c r="N6" s="1"/>
      <c r="O6" s="1">
        <v>27690</v>
      </c>
      <c r="P6" s="1"/>
      <c r="Q6" s="1">
        <v>35000</v>
      </c>
      <c r="R6" s="1">
        <v>35000</v>
      </c>
      <c r="S6" s="1">
        <v>35000</v>
      </c>
      <c r="T6" s="1">
        <v>35000</v>
      </c>
      <c r="U6" s="1">
        <v>25000</v>
      </c>
      <c r="V6" s="1"/>
      <c r="W6" s="1">
        <v>25000</v>
      </c>
    </row>
    <row r="7" spans="1:25" x14ac:dyDescent="0.4">
      <c r="A7" t="s">
        <v>130</v>
      </c>
      <c r="B7" t="s">
        <v>131</v>
      </c>
      <c r="C7" t="s">
        <v>14</v>
      </c>
      <c r="D7" t="s">
        <v>143</v>
      </c>
      <c r="E7" t="s">
        <v>144</v>
      </c>
      <c r="L7" s="1">
        <v>386000</v>
      </c>
      <c r="M7" s="1">
        <v>462000</v>
      </c>
      <c r="N7" s="1"/>
      <c r="O7" s="1">
        <v>316694</v>
      </c>
      <c r="P7" s="1">
        <v>143250</v>
      </c>
      <c r="Q7" s="1">
        <v>321000</v>
      </c>
      <c r="R7" s="1">
        <v>321000</v>
      </c>
      <c r="S7" s="1">
        <v>200000</v>
      </c>
      <c r="T7" s="1">
        <v>200000</v>
      </c>
      <c r="U7" s="1">
        <v>372650</v>
      </c>
      <c r="V7" s="1">
        <v>247087</v>
      </c>
      <c r="W7" s="1">
        <v>385650</v>
      </c>
      <c r="X7" s="1"/>
      <c r="Y7" s="1">
        <f>SUM(W7:X7)</f>
        <v>385650</v>
      </c>
    </row>
    <row r="8" spans="1:25" x14ac:dyDescent="0.4">
      <c r="A8" t="s">
        <v>130</v>
      </c>
      <c r="B8" t="s">
        <v>131</v>
      </c>
      <c r="C8" t="s">
        <v>14</v>
      </c>
      <c r="D8" t="s">
        <v>145</v>
      </c>
      <c r="E8" t="s">
        <v>146</v>
      </c>
      <c r="L8" s="1">
        <v>2000</v>
      </c>
      <c r="M8" s="1">
        <v>5000</v>
      </c>
      <c r="N8" s="1"/>
      <c r="O8" s="1">
        <v>4611</v>
      </c>
      <c r="P8" s="1">
        <v>2901</v>
      </c>
      <c r="Q8" s="1">
        <v>6000</v>
      </c>
      <c r="R8" s="1">
        <v>6000</v>
      </c>
      <c r="S8" s="1">
        <v>10000</v>
      </c>
      <c r="T8" s="1">
        <v>10000</v>
      </c>
      <c r="U8" s="1">
        <v>6000</v>
      </c>
      <c r="V8" s="1">
        <v>1800</v>
      </c>
      <c r="W8" s="1">
        <v>6000</v>
      </c>
    </row>
    <row r="9" spans="1:25" x14ac:dyDescent="0.4">
      <c r="A9" t="s">
        <v>130</v>
      </c>
      <c r="B9" t="s">
        <v>131</v>
      </c>
      <c r="C9" t="s">
        <v>14</v>
      </c>
      <c r="D9" t="s">
        <v>147</v>
      </c>
      <c r="E9" t="s">
        <v>148</v>
      </c>
      <c r="L9" s="1">
        <v>353000</v>
      </c>
      <c r="M9" s="1">
        <v>406000</v>
      </c>
      <c r="N9" s="1"/>
      <c r="O9" s="1">
        <v>344482</v>
      </c>
      <c r="P9" s="1">
        <v>254863</v>
      </c>
      <c r="Q9" s="1">
        <v>291000</v>
      </c>
      <c r="R9" s="1">
        <v>291000</v>
      </c>
      <c r="S9" s="1">
        <v>280000</v>
      </c>
      <c r="T9" s="1">
        <v>280000</v>
      </c>
      <c r="U9" s="1">
        <v>300000</v>
      </c>
      <c r="V9" s="1">
        <v>182581</v>
      </c>
      <c r="W9" s="1">
        <v>312000</v>
      </c>
    </row>
    <row r="10" spans="1:25" x14ac:dyDescent="0.4">
      <c r="A10" t="s">
        <v>130</v>
      </c>
      <c r="B10" t="s">
        <v>131</v>
      </c>
      <c r="C10" t="s">
        <v>14</v>
      </c>
      <c r="D10" t="s">
        <v>149</v>
      </c>
      <c r="E10" t="s">
        <v>150</v>
      </c>
      <c r="L10" s="1">
        <v>30000</v>
      </c>
      <c r="M10" s="1">
        <v>45000</v>
      </c>
      <c r="N10" s="1"/>
      <c r="O10" s="1">
        <v>46104</v>
      </c>
      <c r="P10" s="1">
        <v>11613</v>
      </c>
      <c r="Q10" s="1">
        <v>45000</v>
      </c>
      <c r="R10" s="1">
        <v>45000</v>
      </c>
      <c r="S10" s="1">
        <v>40000</v>
      </c>
      <c r="T10" s="1">
        <v>40000</v>
      </c>
      <c r="U10" s="1">
        <v>20500</v>
      </c>
      <c r="V10" s="1">
        <v>23153</v>
      </c>
      <c r="W10" s="1">
        <v>22000</v>
      </c>
    </row>
    <row r="11" spans="1:25" x14ac:dyDescent="0.4">
      <c r="A11" t="s">
        <v>130</v>
      </c>
      <c r="B11" t="s">
        <v>131</v>
      </c>
      <c r="C11" t="s">
        <v>14</v>
      </c>
      <c r="D11" t="s">
        <v>151</v>
      </c>
      <c r="E11" t="s">
        <v>152</v>
      </c>
      <c r="L11" s="1">
        <v>0</v>
      </c>
      <c r="M11" s="1">
        <v>18000</v>
      </c>
      <c r="N11" s="1"/>
      <c r="O11" s="1">
        <v>10573</v>
      </c>
      <c r="P11" s="1"/>
      <c r="Q11" s="1">
        <v>5000</v>
      </c>
      <c r="R11" s="1">
        <v>12000</v>
      </c>
      <c r="S11" s="1">
        <v>20000</v>
      </c>
      <c r="T11" s="1">
        <v>15000</v>
      </c>
      <c r="U11" s="1">
        <v>2000</v>
      </c>
      <c r="V11" s="1">
        <v>280</v>
      </c>
      <c r="W11" s="1">
        <v>2000</v>
      </c>
    </row>
    <row r="12" spans="1:25" x14ac:dyDescent="0.4">
      <c r="A12" t="s">
        <v>130</v>
      </c>
      <c r="B12" t="s">
        <v>131</v>
      </c>
      <c r="C12" t="s">
        <v>14</v>
      </c>
      <c r="D12" t="s">
        <v>153</v>
      </c>
      <c r="E12" t="s">
        <v>154</v>
      </c>
      <c r="L12" s="1">
        <v>0</v>
      </c>
      <c r="M12" s="1">
        <v>2000</v>
      </c>
      <c r="N12" s="1"/>
      <c r="O12" s="1">
        <v>4021</v>
      </c>
      <c r="P12" s="1">
        <v>1739</v>
      </c>
      <c r="Q12" s="1">
        <v>4000</v>
      </c>
      <c r="R12" s="1">
        <v>4000</v>
      </c>
      <c r="S12" s="1">
        <v>4000</v>
      </c>
      <c r="T12" s="1">
        <v>1000</v>
      </c>
      <c r="U12" s="1">
        <v>1000</v>
      </c>
      <c r="V12" s="1">
        <v>470</v>
      </c>
      <c r="W12" s="1">
        <v>1000</v>
      </c>
    </row>
    <row r="13" spans="1:25" x14ac:dyDescent="0.4">
      <c r="A13" t="s">
        <v>130</v>
      </c>
      <c r="B13" t="s">
        <v>131</v>
      </c>
      <c r="C13" t="s">
        <v>14</v>
      </c>
      <c r="D13" t="s">
        <v>155</v>
      </c>
      <c r="E13" t="s">
        <v>156</v>
      </c>
      <c r="L13" s="1">
        <v>0</v>
      </c>
      <c r="M13" s="1">
        <v>5000</v>
      </c>
      <c r="N13" s="1"/>
      <c r="O13" s="1">
        <v>8499</v>
      </c>
      <c r="P13" s="1">
        <v>9206</v>
      </c>
      <c r="Q13" s="1">
        <v>6000</v>
      </c>
      <c r="R13" s="1">
        <v>5000</v>
      </c>
      <c r="S13" s="1">
        <v>10000</v>
      </c>
      <c r="T13" s="1">
        <v>13000</v>
      </c>
      <c r="U13" s="1">
        <v>5000</v>
      </c>
      <c r="V13" s="1">
        <v>2878</v>
      </c>
      <c r="W13" s="1">
        <v>4000</v>
      </c>
    </row>
    <row r="14" spans="1:25" x14ac:dyDescent="0.4">
      <c r="A14" t="s">
        <v>130</v>
      </c>
      <c r="B14" t="s">
        <v>131</v>
      </c>
      <c r="C14" t="s">
        <v>14</v>
      </c>
      <c r="D14" t="s">
        <v>157</v>
      </c>
      <c r="E14" t="s">
        <v>158</v>
      </c>
      <c r="L14" s="1">
        <v>0</v>
      </c>
      <c r="M14" s="1">
        <v>15000</v>
      </c>
      <c r="N14" s="1"/>
      <c r="O14" s="1">
        <v>0</v>
      </c>
      <c r="P14" s="1"/>
      <c r="Q14" s="1"/>
    </row>
    <row r="15" spans="1:25" x14ac:dyDescent="0.4">
      <c r="A15" t="s">
        <v>130</v>
      </c>
      <c r="B15" t="s">
        <v>131</v>
      </c>
      <c r="C15" t="s">
        <v>14</v>
      </c>
      <c r="D15" t="s">
        <v>159</v>
      </c>
      <c r="E15" t="s">
        <v>160</v>
      </c>
      <c r="L15" s="1">
        <v>0</v>
      </c>
      <c r="M15" s="1">
        <v>0</v>
      </c>
      <c r="N15" s="1"/>
      <c r="O15" s="1">
        <v>21066</v>
      </c>
      <c r="P15" s="1">
        <v>29089</v>
      </c>
      <c r="Q15" s="1">
        <v>30000</v>
      </c>
      <c r="R15" s="1">
        <v>30000</v>
      </c>
      <c r="S15" s="1">
        <v>40000</v>
      </c>
      <c r="T15" s="1">
        <v>50000</v>
      </c>
      <c r="U15" s="28">
        <v>25000</v>
      </c>
      <c r="V15" s="28">
        <v>25253</v>
      </c>
      <c r="W15" s="1">
        <v>30000</v>
      </c>
    </row>
    <row r="16" spans="1:25" x14ac:dyDescent="0.4">
      <c r="A16" t="s">
        <v>130</v>
      </c>
      <c r="B16" t="s">
        <v>131</v>
      </c>
      <c r="C16" t="s">
        <v>14</v>
      </c>
      <c r="D16" t="s">
        <v>161</v>
      </c>
      <c r="E16" t="s">
        <v>162</v>
      </c>
      <c r="L16" s="1">
        <v>50000</v>
      </c>
      <c r="M16" s="1">
        <v>50000</v>
      </c>
      <c r="N16" s="1"/>
      <c r="O16" s="1">
        <v>33752</v>
      </c>
      <c r="P16" s="1"/>
      <c r="Q16" s="1">
        <v>40000</v>
      </c>
      <c r="R16" s="1">
        <v>40000</v>
      </c>
      <c r="S16" s="1">
        <v>70000</v>
      </c>
      <c r="T16" s="1">
        <v>70000</v>
      </c>
      <c r="U16" s="1">
        <v>40000</v>
      </c>
      <c r="V16" s="1"/>
    </row>
    <row r="17" spans="1:28" x14ac:dyDescent="0.4">
      <c r="A17" s="4">
        <v>100</v>
      </c>
      <c r="B17" t="s">
        <v>131</v>
      </c>
      <c r="C17" t="s">
        <v>14</v>
      </c>
      <c r="D17" s="4">
        <v>11210</v>
      </c>
      <c r="E17" t="s">
        <v>163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>
        <v>1487</v>
      </c>
      <c r="W17" s="1">
        <v>2000</v>
      </c>
      <c r="Y17" s="1">
        <f>W7+W69+W132</f>
        <v>3483000</v>
      </c>
      <c r="AA17">
        <f>535000*0.11</f>
        <v>58850</v>
      </c>
      <c r="AB17">
        <v>100</v>
      </c>
    </row>
    <row r="18" spans="1:28" x14ac:dyDescent="0.4">
      <c r="A18" t="s">
        <v>130</v>
      </c>
      <c r="B18" t="s">
        <v>131</v>
      </c>
      <c r="C18" t="s">
        <v>14</v>
      </c>
      <c r="D18" t="s">
        <v>164</v>
      </c>
      <c r="E18" t="s">
        <v>165</v>
      </c>
      <c r="L18" s="1">
        <v>500000</v>
      </c>
      <c r="M18" s="1">
        <v>350000</v>
      </c>
      <c r="N18" s="1"/>
      <c r="O18" s="1">
        <v>309818</v>
      </c>
      <c r="P18" s="1">
        <v>96909</v>
      </c>
      <c r="Q18" s="1">
        <v>150000</v>
      </c>
      <c r="R18" s="1">
        <v>320000</v>
      </c>
      <c r="S18" s="1">
        <v>180000</v>
      </c>
      <c r="T18" s="1">
        <v>150000</v>
      </c>
      <c r="U18" s="1">
        <v>90000</v>
      </c>
      <c r="V18" s="1">
        <v>68376</v>
      </c>
      <c r="W18" s="1">
        <v>100000</v>
      </c>
      <c r="Y18">
        <f>428000/3868000</f>
        <v>0.11065149948293691</v>
      </c>
    </row>
    <row r="19" spans="1:28" x14ac:dyDescent="0.4">
      <c r="A19" s="4">
        <v>100</v>
      </c>
      <c r="B19" t="s">
        <v>131</v>
      </c>
      <c r="C19" t="s">
        <v>14</v>
      </c>
      <c r="D19" s="4">
        <v>11310</v>
      </c>
      <c r="E19" t="s">
        <v>166</v>
      </c>
      <c r="L19" s="1"/>
      <c r="M19" s="1"/>
      <c r="N19" s="1"/>
      <c r="O19" s="1"/>
      <c r="P19" s="1"/>
      <c r="Q19" s="1"/>
      <c r="R19" s="1"/>
      <c r="S19" s="1"/>
      <c r="T19" s="1">
        <v>10000</v>
      </c>
      <c r="U19" s="1">
        <v>10000</v>
      </c>
      <c r="V19" s="1">
        <v>5972</v>
      </c>
      <c r="W19" s="1">
        <v>10000</v>
      </c>
      <c r="Y19">
        <f>W69/3838000</f>
        <v>0.52285044293903071</v>
      </c>
      <c r="AA19">
        <f>535000*0.58</f>
        <v>310300</v>
      </c>
      <c r="AB19">
        <v>200</v>
      </c>
    </row>
    <row r="20" spans="1:28" x14ac:dyDescent="0.4">
      <c r="A20" t="s">
        <v>130</v>
      </c>
      <c r="B20" t="s">
        <v>131</v>
      </c>
      <c r="C20" t="s">
        <v>14</v>
      </c>
      <c r="D20" t="s">
        <v>167</v>
      </c>
      <c r="E20" t="s">
        <v>168</v>
      </c>
      <c r="L20" s="1">
        <v>90000</v>
      </c>
      <c r="M20" s="1">
        <v>130000</v>
      </c>
      <c r="N20" s="1"/>
      <c r="O20" s="1">
        <v>187327</v>
      </c>
      <c r="P20" s="1">
        <v>96176</v>
      </c>
      <c r="Q20" s="1">
        <v>110000</v>
      </c>
      <c r="R20" s="1">
        <v>110000</v>
      </c>
      <c r="S20" s="1">
        <v>120000</v>
      </c>
      <c r="T20" s="1">
        <v>250000</v>
      </c>
      <c r="U20" s="1">
        <v>170000</v>
      </c>
      <c r="V20" s="1">
        <v>132763</v>
      </c>
      <c r="W20" s="1">
        <v>140000</v>
      </c>
      <c r="Y20">
        <f>W132/3838000</f>
        <v>0.28417144346013551</v>
      </c>
      <c r="AA20">
        <f>535000*0.31</f>
        <v>165850</v>
      </c>
    </row>
    <row r="21" spans="1:28" x14ac:dyDescent="0.4">
      <c r="A21" t="s">
        <v>130</v>
      </c>
      <c r="B21" t="s">
        <v>131</v>
      </c>
      <c r="C21" t="s">
        <v>14</v>
      </c>
      <c r="D21" t="s">
        <v>169</v>
      </c>
      <c r="E21" t="s">
        <v>170</v>
      </c>
      <c r="L21" s="1">
        <v>45000</v>
      </c>
      <c r="M21" s="1">
        <v>45000</v>
      </c>
      <c r="N21" s="1"/>
      <c r="O21" s="1">
        <v>28068</v>
      </c>
      <c r="P21" s="1">
        <v>5695</v>
      </c>
      <c r="Q21" s="1">
        <v>70000</v>
      </c>
      <c r="R21" s="1">
        <v>70000</v>
      </c>
      <c r="S21" s="1">
        <v>80000</v>
      </c>
      <c r="T21" s="1">
        <v>50000</v>
      </c>
      <c r="U21" s="1">
        <v>45000</v>
      </c>
      <c r="V21" s="1">
        <v>7190</v>
      </c>
      <c r="W21" s="1">
        <v>30000</v>
      </c>
      <c r="AA21">
        <f>SUM(AA17:AA20)</f>
        <v>535000</v>
      </c>
    </row>
    <row r="22" spans="1:28" x14ac:dyDescent="0.4">
      <c r="A22" t="s">
        <v>130</v>
      </c>
      <c r="B22" t="s">
        <v>131</v>
      </c>
      <c r="C22" t="s">
        <v>14</v>
      </c>
      <c r="D22" t="s">
        <v>171</v>
      </c>
      <c r="E22" t="s">
        <v>172</v>
      </c>
      <c r="L22" s="1">
        <v>25000</v>
      </c>
      <c r="M22" s="1">
        <v>25000</v>
      </c>
      <c r="N22" s="1"/>
      <c r="O22" s="1">
        <v>15735</v>
      </c>
      <c r="P22" s="1">
        <v>1330</v>
      </c>
      <c r="Q22" s="1">
        <v>10000</v>
      </c>
      <c r="R22" s="1">
        <v>16000</v>
      </c>
      <c r="S22" s="1">
        <v>10000</v>
      </c>
      <c r="T22" s="1">
        <v>12000</v>
      </c>
      <c r="U22" s="1">
        <v>10000</v>
      </c>
      <c r="V22" s="1">
        <v>5121</v>
      </c>
      <c r="W22" s="1">
        <v>10000</v>
      </c>
    </row>
    <row r="23" spans="1:28" x14ac:dyDescent="0.4">
      <c r="A23" s="4">
        <v>100</v>
      </c>
      <c r="B23" t="s">
        <v>131</v>
      </c>
      <c r="C23" t="s">
        <v>14</v>
      </c>
      <c r="D23" s="4">
        <v>11650</v>
      </c>
      <c r="E23" t="s">
        <v>173</v>
      </c>
      <c r="L23" s="1"/>
      <c r="M23" s="1"/>
      <c r="N23" s="1"/>
      <c r="O23" s="1"/>
      <c r="P23" s="1"/>
      <c r="Q23" s="1"/>
      <c r="R23" s="1"/>
      <c r="S23" s="1"/>
      <c r="T23" s="1"/>
      <c r="U23" s="1">
        <v>12000</v>
      </c>
      <c r="V23" s="1"/>
      <c r="W23" s="1"/>
    </row>
    <row r="24" spans="1:28" x14ac:dyDescent="0.4">
      <c r="A24" t="s">
        <v>130</v>
      </c>
      <c r="B24" t="s">
        <v>131</v>
      </c>
      <c r="C24" t="s">
        <v>14</v>
      </c>
      <c r="D24" t="s">
        <v>174</v>
      </c>
      <c r="E24" t="s">
        <v>175</v>
      </c>
      <c r="L24" s="1">
        <v>0</v>
      </c>
      <c r="M24" s="1">
        <v>1000</v>
      </c>
      <c r="N24" s="1"/>
      <c r="O24" s="1">
        <v>11689</v>
      </c>
      <c r="P24" s="1">
        <v>38599.4</v>
      </c>
      <c r="Q24" s="1">
        <v>40000</v>
      </c>
      <c r="R24" s="1">
        <v>40000</v>
      </c>
      <c r="S24" s="1">
        <v>40000</v>
      </c>
      <c r="T24" s="1">
        <v>40000</v>
      </c>
      <c r="U24" s="1">
        <v>20000</v>
      </c>
      <c r="V24" s="1">
        <v>9008</v>
      </c>
      <c r="W24" s="1">
        <v>15000</v>
      </c>
    </row>
    <row r="25" spans="1:28" x14ac:dyDescent="0.4">
      <c r="A25" t="s">
        <v>130</v>
      </c>
      <c r="B25" t="s">
        <v>131</v>
      </c>
      <c r="C25" t="s">
        <v>14</v>
      </c>
      <c r="D25" t="s">
        <v>176</v>
      </c>
      <c r="E25" t="s">
        <v>177</v>
      </c>
      <c r="L25" s="1">
        <v>65000</v>
      </c>
      <c r="M25" s="1">
        <v>104000</v>
      </c>
      <c r="N25" s="1"/>
      <c r="O25" s="1">
        <v>101354</v>
      </c>
      <c r="P25" s="1">
        <v>110026</v>
      </c>
      <c r="Q25" s="1">
        <v>110000</v>
      </c>
      <c r="R25" s="1">
        <v>110000</v>
      </c>
      <c r="S25" s="1">
        <v>116000</v>
      </c>
      <c r="T25" s="1">
        <v>123000</v>
      </c>
      <c r="U25" s="1">
        <v>125000</v>
      </c>
      <c r="V25" s="1">
        <v>125699</v>
      </c>
      <c r="W25" s="1">
        <v>125000</v>
      </c>
    </row>
    <row r="26" spans="1:28" x14ac:dyDescent="0.4">
      <c r="A26" t="s">
        <v>130</v>
      </c>
      <c r="B26" t="s">
        <v>131</v>
      </c>
      <c r="C26" t="s">
        <v>14</v>
      </c>
      <c r="D26" t="s">
        <v>178</v>
      </c>
      <c r="E26" t="s">
        <v>179</v>
      </c>
      <c r="L26" s="1">
        <v>0</v>
      </c>
      <c r="M26" s="1">
        <v>0</v>
      </c>
      <c r="N26" s="1"/>
      <c r="O26" s="1">
        <v>29</v>
      </c>
      <c r="P26" s="1"/>
      <c r="Q26" s="1"/>
    </row>
    <row r="27" spans="1:28" x14ac:dyDescent="0.4">
      <c r="A27" t="s">
        <v>130</v>
      </c>
      <c r="B27" t="s">
        <v>131</v>
      </c>
      <c r="C27" t="s">
        <v>14</v>
      </c>
      <c r="D27" t="s">
        <v>180</v>
      </c>
      <c r="E27" t="s">
        <v>181</v>
      </c>
      <c r="L27" s="1">
        <v>1065000</v>
      </c>
      <c r="M27" s="1">
        <v>950000</v>
      </c>
      <c r="N27" s="1"/>
      <c r="O27" s="1">
        <v>1081653</v>
      </c>
      <c r="P27" s="1">
        <v>868637</v>
      </c>
      <c r="Q27" s="1">
        <v>950000</v>
      </c>
      <c r="R27" s="1">
        <v>950000</v>
      </c>
      <c r="S27" s="1">
        <v>1000000</v>
      </c>
      <c r="T27" s="1">
        <v>1050000</v>
      </c>
      <c r="U27" s="28">
        <v>860000</v>
      </c>
      <c r="V27" s="28">
        <v>676983</v>
      </c>
      <c r="W27" s="1">
        <v>1015000</v>
      </c>
    </row>
    <row r="28" spans="1:28" x14ac:dyDescent="0.4">
      <c r="A28" t="s">
        <v>130</v>
      </c>
      <c r="B28" t="s">
        <v>131</v>
      </c>
      <c r="C28" t="s">
        <v>14</v>
      </c>
      <c r="D28" t="s">
        <v>182</v>
      </c>
      <c r="E28" t="s">
        <v>183</v>
      </c>
      <c r="L28" s="1">
        <v>80000</v>
      </c>
      <c r="M28" s="1">
        <v>80000</v>
      </c>
      <c r="N28" s="1"/>
      <c r="O28" s="1">
        <v>69219</v>
      </c>
      <c r="P28" s="1">
        <v>47687</v>
      </c>
      <c r="Q28" s="1">
        <v>70000</v>
      </c>
      <c r="R28" s="1">
        <v>70000</v>
      </c>
      <c r="S28" s="1">
        <v>100000</v>
      </c>
      <c r="T28" s="1">
        <v>200000</v>
      </c>
      <c r="U28" s="1">
        <v>40000</v>
      </c>
      <c r="V28" s="1">
        <v>25942</v>
      </c>
      <c r="W28" s="1">
        <v>40000</v>
      </c>
    </row>
    <row r="29" spans="1:28" x14ac:dyDescent="0.4">
      <c r="A29" t="s">
        <v>130</v>
      </c>
      <c r="B29" t="s">
        <v>131</v>
      </c>
      <c r="C29" t="s">
        <v>14</v>
      </c>
      <c r="D29" t="s">
        <v>184</v>
      </c>
      <c r="E29" t="s">
        <v>185</v>
      </c>
      <c r="L29" s="1">
        <v>100000</v>
      </c>
      <c r="M29" s="1">
        <v>0</v>
      </c>
      <c r="N29" s="1"/>
      <c r="O29" s="1">
        <v>0</v>
      </c>
      <c r="P29" s="1"/>
      <c r="Q29" s="1"/>
      <c r="V29" s="1"/>
    </row>
    <row r="30" spans="1:28" x14ac:dyDescent="0.4">
      <c r="A30" t="s">
        <v>130</v>
      </c>
      <c r="B30" t="s">
        <v>131</v>
      </c>
      <c r="C30" t="s">
        <v>14</v>
      </c>
      <c r="D30" t="s">
        <v>186</v>
      </c>
      <c r="E30" t="s">
        <v>187</v>
      </c>
      <c r="L30" s="1">
        <v>45000</v>
      </c>
      <c r="M30" s="1">
        <v>175000</v>
      </c>
      <c r="N30" s="1"/>
      <c r="O30" s="1">
        <v>185232</v>
      </c>
      <c r="P30" s="1">
        <v>100562</v>
      </c>
      <c r="Q30" s="1">
        <v>100000</v>
      </c>
      <c r="R30" s="1">
        <v>190000</v>
      </c>
      <c r="S30" s="1">
        <v>155000</v>
      </c>
      <c r="T30" s="1">
        <v>155000</v>
      </c>
      <c r="U30" s="1">
        <v>160000</v>
      </c>
      <c r="V30" s="1">
        <v>110773</v>
      </c>
      <c r="W30" s="1">
        <v>170000</v>
      </c>
    </row>
    <row r="31" spans="1:28" x14ac:dyDescent="0.4">
      <c r="A31" t="s">
        <v>130</v>
      </c>
      <c r="B31" t="s">
        <v>131</v>
      </c>
      <c r="C31" t="s">
        <v>14</v>
      </c>
      <c r="D31" t="s">
        <v>188</v>
      </c>
      <c r="E31" t="s">
        <v>189</v>
      </c>
      <c r="L31" s="1">
        <v>0</v>
      </c>
      <c r="M31" s="1">
        <v>100000</v>
      </c>
      <c r="N31" s="1"/>
      <c r="O31" s="1">
        <v>60379</v>
      </c>
      <c r="P31" s="1"/>
      <c r="Q31" s="1">
        <v>10000</v>
      </c>
      <c r="R31" s="1">
        <v>60000</v>
      </c>
      <c r="S31" s="1">
        <v>10000</v>
      </c>
      <c r="T31" s="1">
        <v>20000</v>
      </c>
      <c r="U31" s="1">
        <v>12000</v>
      </c>
      <c r="V31" s="1">
        <v>24120</v>
      </c>
      <c r="W31" s="1">
        <v>30000</v>
      </c>
    </row>
    <row r="32" spans="1:28" x14ac:dyDescent="0.4">
      <c r="A32" t="s">
        <v>130</v>
      </c>
      <c r="B32" t="s">
        <v>131</v>
      </c>
      <c r="C32" t="s">
        <v>14</v>
      </c>
      <c r="D32" t="s">
        <v>190</v>
      </c>
      <c r="E32" t="s">
        <v>191</v>
      </c>
      <c r="L32" s="1">
        <v>90000</v>
      </c>
      <c r="M32" s="1">
        <v>90000</v>
      </c>
      <c r="N32" s="1"/>
      <c r="O32" s="1">
        <v>121013</v>
      </c>
      <c r="P32" s="1">
        <v>48158</v>
      </c>
      <c r="Q32" s="1">
        <v>80000</v>
      </c>
      <c r="R32" s="1">
        <v>80000</v>
      </c>
      <c r="S32" s="1">
        <v>100000</v>
      </c>
      <c r="T32" s="1">
        <v>100000</v>
      </c>
      <c r="U32" s="1">
        <v>90000</v>
      </c>
      <c r="V32" s="1">
        <v>42210</v>
      </c>
      <c r="W32" s="1">
        <v>90000</v>
      </c>
    </row>
    <row r="33" spans="1:24" x14ac:dyDescent="0.4">
      <c r="A33" t="s">
        <v>130</v>
      </c>
      <c r="B33" t="s">
        <v>131</v>
      </c>
      <c r="C33" t="s">
        <v>14</v>
      </c>
      <c r="D33" t="s">
        <v>192</v>
      </c>
      <c r="E33" t="s">
        <v>193</v>
      </c>
      <c r="L33" s="1">
        <v>345000</v>
      </c>
      <c r="M33" s="1">
        <v>345000</v>
      </c>
      <c r="N33" s="1"/>
      <c r="O33" s="1">
        <v>1390000</v>
      </c>
      <c r="P33" s="1"/>
      <c r="Q33" s="1">
        <v>380000</v>
      </c>
      <c r="R33" s="1">
        <v>380000</v>
      </c>
      <c r="S33" s="1">
        <v>380000</v>
      </c>
      <c r="T33" s="1">
        <v>380000</v>
      </c>
      <c r="U33" s="1">
        <v>420000</v>
      </c>
      <c r="V33" s="1"/>
      <c r="W33" s="1">
        <v>420000</v>
      </c>
    </row>
    <row r="34" spans="1:24" x14ac:dyDescent="0.4">
      <c r="A34" s="4">
        <v>100</v>
      </c>
      <c r="B34" t="s">
        <v>131</v>
      </c>
      <c r="C34" t="s">
        <v>14</v>
      </c>
      <c r="D34" s="4">
        <v>13500</v>
      </c>
      <c r="E34" t="s">
        <v>10</v>
      </c>
      <c r="L34" s="1"/>
      <c r="M34" s="1"/>
      <c r="N34" s="1"/>
      <c r="O34" s="1"/>
      <c r="P34" s="1"/>
      <c r="Q34" s="1"/>
      <c r="R34" s="1"/>
      <c r="S34" s="1"/>
      <c r="T34" s="1">
        <v>29000</v>
      </c>
      <c r="U34" s="1"/>
      <c r="V34" s="1"/>
    </row>
    <row r="35" spans="1:24" x14ac:dyDescent="0.4">
      <c r="A35" t="s">
        <v>130</v>
      </c>
      <c r="B35" t="s">
        <v>131</v>
      </c>
      <c r="C35" t="s">
        <v>14</v>
      </c>
      <c r="D35" t="s">
        <v>194</v>
      </c>
      <c r="E35" t="s">
        <v>46</v>
      </c>
      <c r="L35" s="1">
        <v>132000</v>
      </c>
      <c r="M35" s="1">
        <v>132000</v>
      </c>
      <c r="N35" s="1"/>
      <c r="O35" s="1">
        <v>0</v>
      </c>
      <c r="P35" s="1"/>
      <c r="Q35" s="1"/>
    </row>
    <row r="36" spans="1:24" x14ac:dyDescent="0.4">
      <c r="A36" t="s">
        <v>130</v>
      </c>
      <c r="B36" t="s">
        <v>131</v>
      </c>
      <c r="C36" t="s">
        <v>14</v>
      </c>
      <c r="D36" t="s">
        <v>195</v>
      </c>
      <c r="E36" t="s">
        <v>11</v>
      </c>
      <c r="L36" s="1">
        <v>425000</v>
      </c>
      <c r="M36" s="1">
        <v>425000</v>
      </c>
      <c r="N36" s="1"/>
      <c r="O36" s="1">
        <v>441507</v>
      </c>
      <c r="P36" s="1">
        <v>255603</v>
      </c>
      <c r="Q36" s="1">
        <v>400000</v>
      </c>
      <c r="R36" s="1">
        <v>400000</v>
      </c>
      <c r="S36" s="1">
        <v>425000</v>
      </c>
      <c r="T36" s="1">
        <v>425000</v>
      </c>
      <c r="U36" s="1">
        <v>750000</v>
      </c>
      <c r="V36" s="1">
        <v>225897</v>
      </c>
      <c r="W36" s="1">
        <v>550000</v>
      </c>
    </row>
    <row r="37" spans="1:24" x14ac:dyDescent="0.4">
      <c r="A37" s="4">
        <v>100</v>
      </c>
      <c r="B37" t="s">
        <v>131</v>
      </c>
      <c r="C37" t="s">
        <v>14</v>
      </c>
      <c r="D37" s="4">
        <v>14700</v>
      </c>
      <c r="E37" t="s">
        <v>196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4" x14ac:dyDescent="0.4">
      <c r="A38" s="4">
        <v>100</v>
      </c>
      <c r="B38" t="s">
        <v>131</v>
      </c>
      <c r="C38" t="s">
        <v>14</v>
      </c>
      <c r="D38" s="4">
        <v>15400</v>
      </c>
      <c r="E38" t="s">
        <v>12</v>
      </c>
      <c r="L38" s="1"/>
      <c r="M38" s="1"/>
      <c r="N38" s="1"/>
      <c r="O38" s="1"/>
      <c r="P38" s="1"/>
      <c r="Q38" s="1"/>
      <c r="R38" s="1"/>
      <c r="T38" s="1"/>
      <c r="W38" s="1">
        <v>99750</v>
      </c>
    </row>
    <row r="39" spans="1:24" x14ac:dyDescent="0.4">
      <c r="A39" t="s">
        <v>130</v>
      </c>
      <c r="B39" t="s">
        <v>131</v>
      </c>
      <c r="C39" t="s">
        <v>14</v>
      </c>
      <c r="D39" t="s">
        <v>197</v>
      </c>
      <c r="E39" t="s">
        <v>198</v>
      </c>
      <c r="L39" s="1">
        <v>120000</v>
      </c>
      <c r="M39" s="1">
        <v>111000</v>
      </c>
      <c r="N39" s="1"/>
      <c r="O39" s="1">
        <v>110391</v>
      </c>
      <c r="P39" s="1">
        <v>98733</v>
      </c>
      <c r="Q39" s="1"/>
      <c r="R39" s="1"/>
      <c r="S39" s="7"/>
      <c r="T39" s="7"/>
      <c r="V39" s="1">
        <v>122591</v>
      </c>
      <c r="W39" s="1">
        <v>125000</v>
      </c>
    </row>
    <row r="40" spans="1:24" x14ac:dyDescent="0.4">
      <c r="A40" t="s">
        <v>130</v>
      </c>
      <c r="B40" t="s">
        <v>131</v>
      </c>
      <c r="C40" t="s">
        <v>14</v>
      </c>
      <c r="D40" t="s">
        <v>199</v>
      </c>
      <c r="E40" t="s">
        <v>35</v>
      </c>
      <c r="L40" s="1">
        <v>100000</v>
      </c>
      <c r="M40" s="1">
        <v>100000</v>
      </c>
      <c r="N40" s="1"/>
      <c r="O40" s="1">
        <v>84486</v>
      </c>
      <c r="P40" s="1"/>
      <c r="Q40" s="1">
        <v>100000</v>
      </c>
      <c r="R40" s="1">
        <v>100000</v>
      </c>
      <c r="S40" s="1">
        <v>100000</v>
      </c>
      <c r="T40" s="1">
        <v>100000</v>
      </c>
      <c r="U40" s="1">
        <v>100000</v>
      </c>
      <c r="V40" s="1"/>
      <c r="W40" s="1">
        <v>100000</v>
      </c>
    </row>
    <row r="41" spans="1:24" x14ac:dyDescent="0.4">
      <c r="A41" s="2">
        <v>100</v>
      </c>
      <c r="B41" s="2" t="s">
        <v>14</v>
      </c>
      <c r="C41" s="2"/>
      <c r="D41" s="2"/>
      <c r="E41" s="2"/>
      <c r="F41" s="2"/>
      <c r="G41" s="2"/>
      <c r="H41" s="2"/>
      <c r="I41" s="2"/>
      <c r="J41" s="2"/>
      <c r="K41" s="2"/>
      <c r="L41" s="3">
        <f>SUM(L2:L40)</f>
        <v>6217000</v>
      </c>
      <c r="M41" s="3">
        <f>SUM(M2:M40)</f>
        <v>6593000</v>
      </c>
      <c r="N41" s="3"/>
      <c r="O41" s="3">
        <f t="shared" ref="O41:W41" si="0">SUM(O2:O40)</f>
        <v>7243865</v>
      </c>
      <c r="P41" s="3">
        <f t="shared" si="0"/>
        <v>3883170.4</v>
      </c>
      <c r="Q41" s="3">
        <f t="shared" si="0"/>
        <v>5127000</v>
      </c>
      <c r="R41" s="3">
        <f t="shared" si="0"/>
        <v>5449000</v>
      </c>
      <c r="S41" s="3">
        <f t="shared" si="0"/>
        <v>5175000</v>
      </c>
      <c r="T41" s="3">
        <f t="shared" si="0"/>
        <v>5483000</v>
      </c>
      <c r="U41" s="3">
        <f t="shared" si="0"/>
        <v>5466150</v>
      </c>
      <c r="V41" s="3">
        <f t="shared" si="0"/>
        <v>3139214</v>
      </c>
      <c r="W41" s="3">
        <f t="shared" si="0"/>
        <v>5674400</v>
      </c>
    </row>
    <row r="42" spans="1:24" x14ac:dyDescent="0.4">
      <c r="L42" s="1"/>
      <c r="M42" s="1"/>
      <c r="N42" s="1"/>
      <c r="O42" s="1"/>
      <c r="P42" s="1"/>
      <c r="Q42" s="1"/>
      <c r="R42" s="1"/>
    </row>
    <row r="43" spans="1:24" x14ac:dyDescent="0.4">
      <c r="A43" t="s">
        <v>130</v>
      </c>
      <c r="B43" t="s">
        <v>131</v>
      </c>
      <c r="C43" t="s">
        <v>26</v>
      </c>
      <c r="D43" t="s">
        <v>200</v>
      </c>
      <c r="E43" t="s">
        <v>201</v>
      </c>
      <c r="L43" s="1">
        <v>0</v>
      </c>
      <c r="M43" s="1">
        <v>-59000</v>
      </c>
      <c r="N43" s="1"/>
      <c r="O43" s="1">
        <v>-87659</v>
      </c>
      <c r="P43" s="1"/>
      <c r="Q43" s="1"/>
      <c r="R43" s="1"/>
    </row>
    <row r="44" spans="1:24" x14ac:dyDescent="0.4">
      <c r="A44" t="s">
        <v>130</v>
      </c>
      <c r="B44" t="s">
        <v>131</v>
      </c>
      <c r="C44" t="s">
        <v>26</v>
      </c>
      <c r="D44" t="s">
        <v>202</v>
      </c>
      <c r="E44" t="s">
        <v>203</v>
      </c>
      <c r="L44" s="1">
        <v>0</v>
      </c>
      <c r="M44" s="1">
        <v>-233000</v>
      </c>
      <c r="N44" s="1"/>
      <c r="O44" s="1">
        <v>-332267</v>
      </c>
      <c r="P44" s="1"/>
      <c r="Q44" s="1"/>
      <c r="R44" s="1">
        <v>0</v>
      </c>
      <c r="V44" s="1"/>
    </row>
    <row r="45" spans="1:24" x14ac:dyDescent="0.4">
      <c r="A45" s="4">
        <v>100</v>
      </c>
      <c r="B45" t="s">
        <v>131</v>
      </c>
      <c r="C45" t="s">
        <v>26</v>
      </c>
      <c r="D45" s="4">
        <v>17050</v>
      </c>
      <c r="E45" t="s">
        <v>204</v>
      </c>
      <c r="L45" s="1"/>
      <c r="M45" s="1"/>
      <c r="N45" s="1"/>
      <c r="O45" s="1"/>
      <c r="P45" s="1"/>
      <c r="Q45" s="1"/>
      <c r="R45" s="1"/>
      <c r="V45" s="1">
        <v>-101733</v>
      </c>
      <c r="W45" s="1">
        <v>-150000</v>
      </c>
    </row>
    <row r="46" spans="1:24" x14ac:dyDescent="0.4">
      <c r="A46" t="s">
        <v>130</v>
      </c>
      <c r="B46" t="s">
        <v>131</v>
      </c>
      <c r="C46" t="s">
        <v>26</v>
      </c>
      <c r="D46" t="s">
        <v>205</v>
      </c>
      <c r="E46" t="s">
        <v>206</v>
      </c>
      <c r="L46" s="1">
        <v>0</v>
      </c>
      <c r="M46" s="1">
        <v>0</v>
      </c>
      <c r="N46" s="1"/>
      <c r="O46" s="1">
        <v>-13834</v>
      </c>
      <c r="P46" s="1"/>
      <c r="Q46" s="1"/>
      <c r="T46">
        <v>-7000</v>
      </c>
      <c r="V46" s="1">
        <v>-24698</v>
      </c>
      <c r="W46" s="1">
        <v>-25000</v>
      </c>
    </row>
    <row r="47" spans="1:24" x14ac:dyDescent="0.4">
      <c r="A47" t="s">
        <v>130</v>
      </c>
      <c r="B47" t="s">
        <v>131</v>
      </c>
      <c r="C47" t="s">
        <v>26</v>
      </c>
      <c r="D47" t="s">
        <v>207</v>
      </c>
      <c r="E47" t="s">
        <v>208</v>
      </c>
      <c r="L47" s="1">
        <v>-425000</v>
      </c>
      <c r="M47" s="1">
        <v>-425000</v>
      </c>
      <c r="N47" s="1"/>
      <c r="O47" s="1">
        <v>-441507</v>
      </c>
      <c r="P47" s="1">
        <v>-255603</v>
      </c>
      <c r="Q47" s="1">
        <v>-400000</v>
      </c>
      <c r="R47" s="1">
        <v>-400000</v>
      </c>
      <c r="S47" s="1">
        <v>-425000</v>
      </c>
      <c r="T47" s="1">
        <v>-425000</v>
      </c>
      <c r="U47" s="1">
        <v>-750000</v>
      </c>
      <c r="V47" s="1">
        <v>-225897</v>
      </c>
      <c r="W47" s="1">
        <v>-550000</v>
      </c>
      <c r="X47" s="1"/>
    </row>
    <row r="48" spans="1:24" x14ac:dyDescent="0.4">
      <c r="A48" t="s">
        <v>130</v>
      </c>
      <c r="B48" t="s">
        <v>131</v>
      </c>
      <c r="C48" t="s">
        <v>26</v>
      </c>
      <c r="D48" t="s">
        <v>209</v>
      </c>
      <c r="E48" t="s">
        <v>210</v>
      </c>
      <c r="L48" s="1">
        <v>0</v>
      </c>
      <c r="M48" s="1">
        <v>0</v>
      </c>
      <c r="N48" s="1"/>
      <c r="O48" s="1">
        <v>-3200</v>
      </c>
      <c r="P48" s="1"/>
      <c r="Q48" s="1"/>
      <c r="W48" s="1"/>
      <c r="X48" s="1"/>
    </row>
    <row r="49" spans="1:27" x14ac:dyDescent="0.4">
      <c r="A49" t="s">
        <v>130</v>
      </c>
      <c r="B49" t="s">
        <v>131</v>
      </c>
      <c r="C49" t="s">
        <v>26</v>
      </c>
      <c r="D49" t="s">
        <v>211</v>
      </c>
      <c r="E49" t="s">
        <v>212</v>
      </c>
      <c r="L49" s="1">
        <v>0</v>
      </c>
      <c r="M49" s="1">
        <v>0</v>
      </c>
      <c r="N49" s="1"/>
      <c r="O49" s="1">
        <v>-10920</v>
      </c>
      <c r="P49" s="1">
        <v>-442</v>
      </c>
      <c r="Q49" s="1"/>
      <c r="V49">
        <v>-272</v>
      </c>
      <c r="W49" s="1">
        <v>-500</v>
      </c>
      <c r="X49" s="1"/>
    </row>
    <row r="50" spans="1:27" x14ac:dyDescent="0.4">
      <c r="A50" t="s">
        <v>130</v>
      </c>
      <c r="B50" t="s">
        <v>131</v>
      </c>
      <c r="C50" t="s">
        <v>26</v>
      </c>
      <c r="D50" t="s">
        <v>213</v>
      </c>
      <c r="E50" t="s">
        <v>91</v>
      </c>
      <c r="L50" s="1">
        <v>-50000</v>
      </c>
      <c r="M50" s="1">
        <v>-50000</v>
      </c>
      <c r="N50" s="1"/>
      <c r="O50" s="1">
        <v>-99000</v>
      </c>
      <c r="P50" s="1">
        <v>-95500</v>
      </c>
      <c r="Q50" s="1">
        <v>-95500</v>
      </c>
      <c r="R50" s="1">
        <v>-95500</v>
      </c>
      <c r="S50" s="1">
        <v>-100000</v>
      </c>
      <c r="T50" s="1">
        <v>-100000</v>
      </c>
      <c r="U50" s="1">
        <v>-125000</v>
      </c>
      <c r="V50" s="1">
        <v>-125000</v>
      </c>
      <c r="W50" s="1">
        <v>-125000</v>
      </c>
    </row>
    <row r="51" spans="1:27" x14ac:dyDescent="0.4">
      <c r="A51" t="s">
        <v>130</v>
      </c>
      <c r="B51" t="s">
        <v>131</v>
      </c>
      <c r="C51" t="s">
        <v>26</v>
      </c>
      <c r="D51" t="s">
        <v>214</v>
      </c>
      <c r="E51" t="s">
        <v>215</v>
      </c>
      <c r="L51" s="1">
        <v>-132000</v>
      </c>
      <c r="M51" s="1">
        <v>-132000</v>
      </c>
      <c r="N51" s="1"/>
      <c r="O51" s="1">
        <v>0</v>
      </c>
      <c r="P51" s="1"/>
      <c r="Q51" s="1"/>
      <c r="W51" s="1"/>
    </row>
    <row r="52" spans="1:27" x14ac:dyDescent="0.4">
      <c r="A52" s="4">
        <v>100</v>
      </c>
      <c r="B52" t="s">
        <v>131</v>
      </c>
      <c r="C52" t="s">
        <v>26</v>
      </c>
      <c r="D52" s="4">
        <v>18000</v>
      </c>
      <c r="E52" t="s">
        <v>20</v>
      </c>
      <c r="L52" s="1"/>
      <c r="M52" s="1"/>
      <c r="N52" s="1"/>
      <c r="O52" s="1"/>
      <c r="P52" s="1"/>
      <c r="Q52" s="1"/>
      <c r="T52">
        <v>-26500</v>
      </c>
      <c r="W52" s="1"/>
    </row>
    <row r="53" spans="1:27" x14ac:dyDescent="0.4">
      <c r="A53" t="s">
        <v>130</v>
      </c>
      <c r="B53" t="s">
        <v>131</v>
      </c>
      <c r="C53" t="s">
        <v>26</v>
      </c>
      <c r="D53" t="s">
        <v>216</v>
      </c>
      <c r="E53" t="s">
        <v>61</v>
      </c>
      <c r="H53" s="35" t="s">
        <v>217</v>
      </c>
      <c r="L53" s="1">
        <v>-150000</v>
      </c>
      <c r="M53" s="1">
        <v>-150000</v>
      </c>
      <c r="N53" s="1"/>
      <c r="O53" s="1">
        <v>-150000</v>
      </c>
      <c r="P53" s="1">
        <v>-120000</v>
      </c>
      <c r="Q53" s="1">
        <v>-150000</v>
      </c>
      <c r="R53" s="1">
        <v>-150000</v>
      </c>
      <c r="S53" s="1">
        <v>-150000</v>
      </c>
      <c r="T53" s="1">
        <v>-190000</v>
      </c>
      <c r="U53" s="1">
        <v>-220000</v>
      </c>
      <c r="V53" s="1"/>
      <c r="W53" s="1"/>
    </row>
    <row r="54" spans="1:27" x14ac:dyDescent="0.4">
      <c r="A54" t="s">
        <v>130</v>
      </c>
      <c r="B54" t="s">
        <v>131</v>
      </c>
      <c r="C54" t="s">
        <v>26</v>
      </c>
      <c r="D54" t="s">
        <v>218</v>
      </c>
      <c r="E54" t="s">
        <v>219</v>
      </c>
      <c r="L54" s="1">
        <v>-5260000</v>
      </c>
      <c r="M54" s="1">
        <v>-5260000</v>
      </c>
      <c r="N54" s="1"/>
      <c r="O54" s="1">
        <v>-5259970</v>
      </c>
      <c r="P54" s="1">
        <v>-4258700</v>
      </c>
      <c r="Q54" s="1">
        <v>-4258700</v>
      </c>
      <c r="R54" s="1">
        <v>-4758700</v>
      </c>
      <c r="S54" s="1">
        <v>-3988500</v>
      </c>
      <c r="T54" s="1">
        <v>-3988500</v>
      </c>
      <c r="U54" s="40">
        <v>-3633000</v>
      </c>
      <c r="V54" s="40">
        <v>-3648800</v>
      </c>
      <c r="W54" s="1">
        <v>-3648800</v>
      </c>
    </row>
    <row r="55" spans="1:27" x14ac:dyDescent="0.4">
      <c r="A55" t="s">
        <v>130</v>
      </c>
      <c r="B55" t="s">
        <v>131</v>
      </c>
      <c r="C55" t="s">
        <v>26</v>
      </c>
      <c r="D55" t="s">
        <v>220</v>
      </c>
      <c r="E55" t="s">
        <v>23</v>
      </c>
      <c r="L55" s="1">
        <v>-100000</v>
      </c>
      <c r="M55" s="1">
        <v>-75000</v>
      </c>
      <c r="N55" s="1"/>
      <c r="O55" s="1">
        <v>-118711</v>
      </c>
      <c r="P55" s="1">
        <v>-111671</v>
      </c>
      <c r="Q55" s="1">
        <v>-100000</v>
      </c>
      <c r="R55" s="1">
        <v>-100000</v>
      </c>
      <c r="S55" s="1">
        <v>-150000</v>
      </c>
      <c r="T55" s="1">
        <v>-450000</v>
      </c>
      <c r="U55" s="1">
        <v>-700000</v>
      </c>
      <c r="V55" s="1">
        <v>-1111026</v>
      </c>
      <c r="W55" s="1">
        <v>-1200000</v>
      </c>
    </row>
    <row r="56" spans="1:27" x14ac:dyDescent="0.4">
      <c r="A56" t="s">
        <v>130</v>
      </c>
      <c r="B56" t="s">
        <v>131</v>
      </c>
      <c r="C56" t="s">
        <v>26</v>
      </c>
      <c r="D56" t="s">
        <v>221</v>
      </c>
      <c r="E56" t="s">
        <v>222</v>
      </c>
      <c r="L56" s="1">
        <v>0</v>
      </c>
      <c r="M56" s="1">
        <v>-109000</v>
      </c>
      <c r="N56" s="1"/>
      <c r="O56" s="1">
        <v>0</v>
      </c>
      <c r="P56" s="1"/>
      <c r="Q56" s="1">
        <v>-216000</v>
      </c>
      <c r="R56" s="5">
        <v>-216000</v>
      </c>
      <c r="S56" s="1">
        <v>-249000</v>
      </c>
      <c r="T56" s="1">
        <v>-249000</v>
      </c>
      <c r="U56" s="1">
        <v>-58850</v>
      </c>
    </row>
    <row r="57" spans="1:27" x14ac:dyDescent="0.4">
      <c r="A57" t="s">
        <v>130</v>
      </c>
      <c r="B57" t="s">
        <v>131</v>
      </c>
      <c r="C57" t="s">
        <v>26</v>
      </c>
      <c r="D57" t="s">
        <v>223</v>
      </c>
      <c r="E57" t="s">
        <v>43</v>
      </c>
      <c r="L57" s="1">
        <v>-100000</v>
      </c>
      <c r="M57" s="1">
        <v>-100000</v>
      </c>
      <c r="N57" s="1"/>
      <c r="O57" s="1">
        <v>-84486</v>
      </c>
      <c r="P57" s="1"/>
      <c r="Q57" s="1">
        <v>-100000</v>
      </c>
      <c r="R57" s="1">
        <v>-100000</v>
      </c>
      <c r="S57" s="1">
        <v>-100000</v>
      </c>
      <c r="T57" s="1">
        <v>-100000</v>
      </c>
      <c r="U57" s="1">
        <v>-100000</v>
      </c>
      <c r="V57" s="1"/>
      <c r="W57" s="1">
        <v>-100000</v>
      </c>
    </row>
    <row r="58" spans="1:27" x14ac:dyDescent="0.4">
      <c r="A58" s="2">
        <v>100</v>
      </c>
      <c r="B58" s="2" t="s">
        <v>26</v>
      </c>
      <c r="C58" s="2"/>
      <c r="D58" s="2"/>
      <c r="E58" s="2"/>
      <c r="F58" s="2"/>
      <c r="G58" s="2"/>
      <c r="H58" s="2"/>
      <c r="I58" s="2"/>
      <c r="J58" s="2"/>
      <c r="K58" s="2"/>
      <c r="L58" s="3">
        <f>SUM(L42:L57)</f>
        <v>-6217000</v>
      </c>
      <c r="M58" s="3">
        <f>SUM(M43:M57)</f>
        <v>-6593000</v>
      </c>
      <c r="N58" s="3"/>
      <c r="O58" s="3">
        <f t="shared" ref="O58:W58" si="1">SUM(O43:O57)</f>
        <v>-6601554</v>
      </c>
      <c r="P58" s="3">
        <f t="shared" si="1"/>
        <v>-4841916</v>
      </c>
      <c r="Q58" s="3">
        <f t="shared" si="1"/>
        <v>-5320200</v>
      </c>
      <c r="R58" s="3">
        <f t="shared" si="1"/>
        <v>-5820200</v>
      </c>
      <c r="S58" s="3">
        <f t="shared" si="1"/>
        <v>-5162500</v>
      </c>
      <c r="T58" s="3">
        <f t="shared" si="1"/>
        <v>-5536000</v>
      </c>
      <c r="U58" s="3">
        <f t="shared" si="1"/>
        <v>-5586850</v>
      </c>
      <c r="V58" s="3">
        <f t="shared" si="1"/>
        <v>-5237426</v>
      </c>
      <c r="W58" s="3">
        <f t="shared" si="1"/>
        <v>-5799300</v>
      </c>
    </row>
    <row r="59" spans="1:27" x14ac:dyDescent="0.4">
      <c r="L59" s="1"/>
      <c r="M59" s="1"/>
      <c r="N59" s="1"/>
      <c r="O59" s="1"/>
      <c r="P59" s="1"/>
      <c r="Q59" s="1"/>
    </row>
    <row r="60" spans="1:27" x14ac:dyDescent="0.4">
      <c r="L60" s="1"/>
      <c r="M60" s="1"/>
      <c r="N60" s="1"/>
      <c r="O60" s="1"/>
      <c r="P60" s="1"/>
      <c r="Q60" s="1"/>
    </row>
    <row r="61" spans="1:27" x14ac:dyDescent="0.4">
      <c r="A61" t="s">
        <v>224</v>
      </c>
      <c r="B61" t="s">
        <v>225</v>
      </c>
      <c r="C61" t="s">
        <v>14</v>
      </c>
      <c r="D61" t="s">
        <v>132</v>
      </c>
      <c r="E61" t="s">
        <v>133</v>
      </c>
      <c r="L61" s="1">
        <v>6340000</v>
      </c>
      <c r="M61" s="1">
        <v>6260000</v>
      </c>
      <c r="N61" s="1"/>
      <c r="O61" s="1">
        <v>7051677</v>
      </c>
      <c r="P61" s="1">
        <v>7607976</v>
      </c>
      <c r="Q61" s="1">
        <v>8700000</v>
      </c>
      <c r="R61" s="1">
        <v>9070000</v>
      </c>
      <c r="S61" s="1">
        <v>9650000</v>
      </c>
      <c r="T61" s="1">
        <v>9450000</v>
      </c>
      <c r="U61" s="1">
        <v>9231000</v>
      </c>
      <c r="V61" s="1">
        <v>5578784</v>
      </c>
      <c r="W61" s="1">
        <v>9540000</v>
      </c>
      <c r="X61" s="1"/>
      <c r="AA61" s="1"/>
    </row>
    <row r="62" spans="1:27" x14ac:dyDescent="0.4">
      <c r="A62" t="s">
        <v>224</v>
      </c>
      <c r="B62" t="s">
        <v>225</v>
      </c>
      <c r="C62" t="s">
        <v>14</v>
      </c>
      <c r="D62" t="s">
        <v>135</v>
      </c>
      <c r="E62" t="s">
        <v>136</v>
      </c>
      <c r="L62" s="1">
        <v>180000</v>
      </c>
      <c r="M62" s="1">
        <v>180000</v>
      </c>
      <c r="N62" s="1"/>
      <c r="O62" s="1">
        <v>103683</v>
      </c>
      <c r="P62" s="1">
        <v>76000</v>
      </c>
      <c r="Q62" s="1">
        <v>111000</v>
      </c>
      <c r="R62" s="1">
        <v>111000</v>
      </c>
      <c r="S62" s="1">
        <v>100000</v>
      </c>
      <c r="T62" s="1">
        <v>180000</v>
      </c>
      <c r="U62" s="1">
        <v>150000</v>
      </c>
      <c r="V62" s="1">
        <v>114064</v>
      </c>
      <c r="W62" s="1">
        <v>150000</v>
      </c>
      <c r="X62" s="1"/>
      <c r="AA62" s="1"/>
    </row>
    <row r="63" spans="1:27" x14ac:dyDescent="0.4">
      <c r="A63" t="s">
        <v>224</v>
      </c>
      <c r="B63" t="s">
        <v>225</v>
      </c>
      <c r="C63" t="s">
        <v>14</v>
      </c>
      <c r="D63" t="s">
        <v>137</v>
      </c>
      <c r="E63" t="s">
        <v>138</v>
      </c>
      <c r="L63" s="1">
        <v>820000</v>
      </c>
      <c r="M63" s="1">
        <v>810000</v>
      </c>
      <c r="N63" s="1"/>
      <c r="O63" s="1">
        <v>0</v>
      </c>
      <c r="P63" s="1"/>
      <c r="Q63" s="1"/>
      <c r="X63" s="1"/>
      <c r="AA63" s="1"/>
    </row>
    <row r="64" spans="1:27" x14ac:dyDescent="0.4">
      <c r="A64" t="s">
        <v>224</v>
      </c>
      <c r="B64" t="s">
        <v>225</v>
      </c>
      <c r="C64" t="s">
        <v>14</v>
      </c>
      <c r="D64" t="s">
        <v>226</v>
      </c>
      <c r="E64" t="s">
        <v>227</v>
      </c>
      <c r="L64" s="1">
        <v>150000</v>
      </c>
      <c r="M64" s="1">
        <v>250000</v>
      </c>
      <c r="N64" s="1"/>
      <c r="O64" s="1">
        <v>279058</v>
      </c>
      <c r="P64" s="1">
        <v>177445</v>
      </c>
      <c r="Q64" s="1">
        <v>350000</v>
      </c>
      <c r="R64" s="1"/>
      <c r="S64" s="1">
        <v>200000</v>
      </c>
      <c r="T64" s="1">
        <v>250000</v>
      </c>
      <c r="U64" s="1">
        <v>120000</v>
      </c>
      <c r="V64" s="1">
        <v>246991</v>
      </c>
      <c r="W64" s="1">
        <v>270000</v>
      </c>
      <c r="X64" s="1"/>
      <c r="AA64" s="1"/>
    </row>
    <row r="65" spans="1:27" x14ac:dyDescent="0.4">
      <c r="A65" s="4">
        <v>200</v>
      </c>
      <c r="B65" t="s">
        <v>225</v>
      </c>
      <c r="C65" t="s">
        <v>14</v>
      </c>
      <c r="D65" s="4">
        <v>10201</v>
      </c>
      <c r="E65" t="s">
        <v>228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X65" s="1"/>
      <c r="AA65" s="1"/>
    </row>
    <row r="66" spans="1:27" x14ac:dyDescent="0.4">
      <c r="A66" s="4">
        <v>200</v>
      </c>
      <c r="B66" t="s">
        <v>225</v>
      </c>
      <c r="C66" t="s">
        <v>14</v>
      </c>
      <c r="D66" s="4">
        <v>10400</v>
      </c>
      <c r="E66" t="s">
        <v>229</v>
      </c>
      <c r="L66" s="1"/>
      <c r="M66" s="1"/>
      <c r="N66" s="1"/>
      <c r="O66" s="1"/>
      <c r="P66" s="1">
        <v>4662</v>
      </c>
      <c r="Q66" s="1"/>
      <c r="R66" s="1"/>
      <c r="S66" s="1"/>
      <c r="T66" s="1"/>
      <c r="V66" s="1">
        <v>9254</v>
      </c>
      <c r="W66" s="1">
        <v>10000</v>
      </c>
      <c r="X66" s="1"/>
      <c r="AA66" s="1"/>
    </row>
    <row r="67" spans="1:27" x14ac:dyDescent="0.4">
      <c r="A67" t="s">
        <v>224</v>
      </c>
      <c r="B67" t="s">
        <v>225</v>
      </c>
      <c r="C67" t="s">
        <v>14</v>
      </c>
      <c r="D67" t="s">
        <v>139</v>
      </c>
      <c r="E67" t="s">
        <v>140</v>
      </c>
      <c r="L67" s="1">
        <v>85000</v>
      </c>
      <c r="M67" s="1">
        <v>100000</v>
      </c>
      <c r="N67" s="1"/>
      <c r="O67" s="1">
        <v>83297</v>
      </c>
      <c r="P67" s="1">
        <v>39940</v>
      </c>
      <c r="Q67" s="1">
        <v>30000</v>
      </c>
      <c r="R67" s="1">
        <v>19000</v>
      </c>
      <c r="S67" s="1">
        <v>40000</v>
      </c>
      <c r="T67" s="1">
        <v>80000</v>
      </c>
      <c r="U67" s="1">
        <v>80000</v>
      </c>
      <c r="V67" s="1">
        <v>59682</v>
      </c>
      <c r="W67" s="1">
        <v>80000</v>
      </c>
      <c r="X67" s="1"/>
      <c r="AA67" s="1"/>
    </row>
    <row r="68" spans="1:27" x14ac:dyDescent="0.4">
      <c r="A68" t="s">
        <v>224</v>
      </c>
      <c r="B68" t="s">
        <v>225</v>
      </c>
      <c r="C68" t="s">
        <v>14</v>
      </c>
      <c r="D68" t="s">
        <v>230</v>
      </c>
      <c r="E68" t="s">
        <v>231</v>
      </c>
      <c r="L68" s="1">
        <v>50000</v>
      </c>
      <c r="M68" s="1">
        <v>50000</v>
      </c>
      <c r="N68" s="1"/>
      <c r="O68" s="1">
        <v>42000</v>
      </c>
      <c r="P68" s="1">
        <v>58800</v>
      </c>
      <c r="Q68" s="1">
        <v>70000</v>
      </c>
      <c r="R68" s="1">
        <v>40000</v>
      </c>
      <c r="S68" s="1">
        <v>70000</v>
      </c>
      <c r="T68" s="1"/>
      <c r="U68" s="1">
        <v>0</v>
      </c>
      <c r="V68" s="1"/>
      <c r="X68" s="1"/>
      <c r="AA68" s="1"/>
    </row>
    <row r="69" spans="1:27" x14ac:dyDescent="0.4">
      <c r="A69" t="s">
        <v>224</v>
      </c>
      <c r="B69" t="s">
        <v>225</v>
      </c>
      <c r="C69" t="s">
        <v>14</v>
      </c>
      <c r="D69" t="s">
        <v>143</v>
      </c>
      <c r="E69" t="s">
        <v>144</v>
      </c>
      <c r="L69" s="1">
        <v>1330000</v>
      </c>
      <c r="M69" s="1">
        <v>1435000</v>
      </c>
      <c r="N69" s="1"/>
      <c r="O69" s="1">
        <v>984892</v>
      </c>
      <c r="P69" s="1">
        <v>1153967</v>
      </c>
      <c r="Q69" s="1">
        <v>1600000</v>
      </c>
      <c r="R69" s="1">
        <v>1658000</v>
      </c>
      <c r="S69" s="1">
        <v>1580000</v>
      </c>
      <c r="T69" s="1">
        <v>1580000</v>
      </c>
      <c r="U69" s="1">
        <v>1992700</v>
      </c>
      <c r="V69" s="1">
        <v>1365070</v>
      </c>
      <c r="W69" s="1">
        <v>2006700</v>
      </c>
      <c r="X69" s="1"/>
      <c r="Y69" s="1">
        <f>SUM(W69:X69)</f>
        <v>2006700</v>
      </c>
      <c r="AA69" s="1"/>
    </row>
    <row r="70" spans="1:27" x14ac:dyDescent="0.4">
      <c r="A70" t="s">
        <v>224</v>
      </c>
      <c r="B70" t="s">
        <v>225</v>
      </c>
      <c r="C70" t="s">
        <v>14</v>
      </c>
      <c r="D70" t="s">
        <v>145</v>
      </c>
      <c r="E70" t="s">
        <v>146</v>
      </c>
      <c r="L70" s="1">
        <v>40000</v>
      </c>
      <c r="M70" s="1">
        <v>40000</v>
      </c>
      <c r="N70" s="1"/>
      <c r="O70" s="1">
        <v>26718</v>
      </c>
      <c r="P70" s="1">
        <v>23332</v>
      </c>
      <c r="Q70" s="1">
        <v>37000</v>
      </c>
      <c r="R70" s="1">
        <v>37000</v>
      </c>
      <c r="S70" s="1">
        <v>30000</v>
      </c>
      <c r="T70" s="1">
        <v>30000</v>
      </c>
      <c r="U70" s="1">
        <v>35000</v>
      </c>
      <c r="V70" s="1">
        <v>19942</v>
      </c>
      <c r="W70" s="1">
        <v>30000</v>
      </c>
      <c r="X70" s="1"/>
      <c r="AA70" s="1"/>
    </row>
    <row r="71" spans="1:27" x14ac:dyDescent="0.4">
      <c r="A71" t="s">
        <v>224</v>
      </c>
      <c r="B71" t="s">
        <v>225</v>
      </c>
      <c r="C71" t="s">
        <v>14</v>
      </c>
      <c r="D71" t="s">
        <v>147</v>
      </c>
      <c r="E71" t="s">
        <v>148</v>
      </c>
      <c r="L71" s="1">
        <v>1240000</v>
      </c>
      <c r="M71" s="1">
        <v>1260000</v>
      </c>
      <c r="N71" s="1"/>
      <c r="O71" s="1">
        <v>1120096</v>
      </c>
      <c r="P71" s="1">
        <v>1275491</v>
      </c>
      <c r="Q71" s="1">
        <v>1300000</v>
      </c>
      <c r="R71" s="1">
        <v>1538000</v>
      </c>
      <c r="S71" s="1">
        <v>1580000</v>
      </c>
      <c r="T71" s="1">
        <v>1580000</v>
      </c>
      <c r="U71" s="1">
        <v>1700000</v>
      </c>
      <c r="V71" s="1">
        <v>1036199</v>
      </c>
      <c r="W71" s="1">
        <v>1670000</v>
      </c>
      <c r="X71" s="1"/>
      <c r="AA71" s="1"/>
    </row>
    <row r="72" spans="1:27" x14ac:dyDescent="0.4">
      <c r="A72" t="s">
        <v>224</v>
      </c>
      <c r="B72" t="s">
        <v>225</v>
      </c>
      <c r="C72" t="s">
        <v>14</v>
      </c>
      <c r="D72" t="s">
        <v>151</v>
      </c>
      <c r="E72" t="s">
        <v>152</v>
      </c>
      <c r="L72" s="1">
        <v>140000</v>
      </c>
      <c r="M72" s="1">
        <v>75000</v>
      </c>
      <c r="N72" s="1"/>
      <c r="O72" s="1">
        <v>88967</v>
      </c>
      <c r="P72" s="1">
        <v>34273</v>
      </c>
      <c r="Q72" s="1">
        <v>60000</v>
      </c>
      <c r="R72" s="1">
        <v>75000</v>
      </c>
      <c r="S72" s="1">
        <v>40000</v>
      </c>
      <c r="T72" s="1">
        <v>80000</v>
      </c>
      <c r="U72" s="1">
        <v>70000</v>
      </c>
      <c r="V72" s="1">
        <v>93057</v>
      </c>
      <c r="W72" s="1">
        <v>110000</v>
      </c>
      <c r="X72" s="1"/>
      <c r="AA72" s="1"/>
    </row>
    <row r="73" spans="1:27" x14ac:dyDescent="0.4">
      <c r="A73" t="s">
        <v>224</v>
      </c>
      <c r="B73" t="s">
        <v>225</v>
      </c>
      <c r="C73" t="s">
        <v>14</v>
      </c>
      <c r="D73" t="s">
        <v>153</v>
      </c>
      <c r="E73" t="s">
        <v>154</v>
      </c>
      <c r="L73" s="1">
        <v>20000</v>
      </c>
      <c r="M73" s="1">
        <v>110000</v>
      </c>
      <c r="N73" s="1"/>
      <c r="O73" s="1">
        <v>106947</v>
      </c>
      <c r="P73" s="1">
        <v>73024</v>
      </c>
      <c r="Q73" s="1">
        <v>60000</v>
      </c>
      <c r="R73" s="1">
        <v>75000</v>
      </c>
      <c r="S73" s="1">
        <v>60000</v>
      </c>
      <c r="T73" s="1">
        <v>90000</v>
      </c>
      <c r="U73" s="1">
        <v>70000</v>
      </c>
      <c r="V73" s="1">
        <v>52752</v>
      </c>
      <c r="W73" s="1">
        <v>70000</v>
      </c>
      <c r="X73" s="1"/>
      <c r="AA73" s="1"/>
    </row>
    <row r="74" spans="1:27" x14ac:dyDescent="0.4">
      <c r="A74" s="4">
        <v>200</v>
      </c>
      <c r="B74" t="s">
        <v>225</v>
      </c>
      <c r="C74" t="s">
        <v>14</v>
      </c>
      <c r="D74" s="4">
        <v>11201</v>
      </c>
      <c r="E74" t="s">
        <v>232</v>
      </c>
      <c r="L74" s="1"/>
      <c r="M74" s="1"/>
      <c r="N74" s="1"/>
      <c r="O74" s="1"/>
      <c r="P74" s="1"/>
      <c r="Q74" s="1"/>
      <c r="R74" s="1"/>
      <c r="S74" s="1"/>
      <c r="T74" s="1">
        <v>250</v>
      </c>
      <c r="U74" s="1">
        <v>0</v>
      </c>
      <c r="V74" s="1">
        <v>2132</v>
      </c>
      <c r="W74" s="1">
        <v>3000</v>
      </c>
      <c r="X74" s="1"/>
      <c r="AA74" s="1"/>
    </row>
    <row r="75" spans="1:27" x14ac:dyDescent="0.4">
      <c r="A75" t="s">
        <v>224</v>
      </c>
      <c r="B75" t="s">
        <v>225</v>
      </c>
      <c r="C75" t="s">
        <v>14</v>
      </c>
      <c r="D75" t="s">
        <v>157</v>
      </c>
      <c r="E75" t="s">
        <v>158</v>
      </c>
      <c r="L75" s="1">
        <v>0</v>
      </c>
      <c r="M75" s="1">
        <v>6000</v>
      </c>
      <c r="N75" s="1"/>
      <c r="O75" s="1">
        <v>2939</v>
      </c>
      <c r="P75" s="1">
        <v>85.22</v>
      </c>
      <c r="Q75" s="1"/>
      <c r="R75" s="1">
        <v>0</v>
      </c>
      <c r="U75">
        <v>0</v>
      </c>
      <c r="X75" s="1"/>
      <c r="AA75" s="1"/>
    </row>
    <row r="76" spans="1:27" x14ac:dyDescent="0.4">
      <c r="A76" t="s">
        <v>224</v>
      </c>
      <c r="B76" t="s">
        <v>225</v>
      </c>
      <c r="C76" t="s">
        <v>14</v>
      </c>
      <c r="D76" t="s">
        <v>159</v>
      </c>
      <c r="E76" t="s">
        <v>160</v>
      </c>
      <c r="L76" s="1">
        <v>0</v>
      </c>
      <c r="M76" s="1">
        <v>1000</v>
      </c>
      <c r="N76" s="1"/>
      <c r="O76" s="1">
        <v>754</v>
      </c>
      <c r="P76" s="1"/>
      <c r="Q76" s="1"/>
      <c r="R76" s="1">
        <v>0</v>
      </c>
      <c r="U76">
        <v>0</v>
      </c>
      <c r="X76" s="1"/>
      <c r="AA76" s="1"/>
    </row>
    <row r="77" spans="1:27" x14ac:dyDescent="0.4">
      <c r="A77" t="s">
        <v>224</v>
      </c>
      <c r="B77" t="s">
        <v>225</v>
      </c>
      <c r="C77" t="s">
        <v>14</v>
      </c>
      <c r="D77" t="s">
        <v>164</v>
      </c>
      <c r="E77" t="s">
        <v>165</v>
      </c>
      <c r="L77" s="1">
        <v>0</v>
      </c>
      <c r="M77" s="1">
        <v>100000</v>
      </c>
      <c r="N77" s="1"/>
      <c r="O77" s="1">
        <v>13084</v>
      </c>
      <c r="P77" s="1">
        <v>-11438</v>
      </c>
      <c r="Q77" s="1">
        <v>10000</v>
      </c>
      <c r="R77" s="1">
        <v>15000</v>
      </c>
      <c r="S77" s="1">
        <v>10000</v>
      </c>
      <c r="T77" s="1">
        <v>10000</v>
      </c>
      <c r="U77" s="1">
        <v>15000</v>
      </c>
      <c r="V77" s="1">
        <v>-10402</v>
      </c>
      <c r="W77" s="1">
        <v>-12000</v>
      </c>
      <c r="X77" s="1"/>
      <c r="AA77" s="1"/>
    </row>
    <row r="78" spans="1:27" x14ac:dyDescent="0.4">
      <c r="A78" t="s">
        <v>224</v>
      </c>
      <c r="B78" t="s">
        <v>225</v>
      </c>
      <c r="C78" t="s">
        <v>14</v>
      </c>
      <c r="D78" t="s">
        <v>167</v>
      </c>
      <c r="E78" t="s">
        <v>168</v>
      </c>
      <c r="L78" s="1">
        <v>0</v>
      </c>
      <c r="M78" s="1">
        <v>45000</v>
      </c>
      <c r="N78" s="1"/>
      <c r="O78" s="1">
        <v>43774</v>
      </c>
      <c r="P78" s="1">
        <v>73250</v>
      </c>
      <c r="Q78" s="1">
        <v>40000</v>
      </c>
      <c r="R78" s="1">
        <v>10000</v>
      </c>
      <c r="S78" s="1">
        <v>30000</v>
      </c>
      <c r="T78" s="1">
        <v>90000</v>
      </c>
      <c r="U78" s="1">
        <v>50000</v>
      </c>
      <c r="V78" s="1">
        <v>47949</v>
      </c>
      <c r="W78" s="1">
        <v>70000</v>
      </c>
      <c r="X78" s="1"/>
      <c r="AA78" s="1"/>
    </row>
    <row r="79" spans="1:27" x14ac:dyDescent="0.4">
      <c r="A79" t="s">
        <v>224</v>
      </c>
      <c r="B79" t="s">
        <v>225</v>
      </c>
      <c r="C79" t="s">
        <v>14</v>
      </c>
      <c r="D79" t="s">
        <v>169</v>
      </c>
      <c r="E79" t="s">
        <v>170</v>
      </c>
      <c r="L79" s="1">
        <v>0</v>
      </c>
      <c r="M79" s="1">
        <v>0</v>
      </c>
      <c r="N79" s="1"/>
      <c r="O79" s="1">
        <v>3000</v>
      </c>
      <c r="P79" s="1">
        <v>300</v>
      </c>
      <c r="Q79" s="1">
        <v>2000</v>
      </c>
      <c r="R79" s="1">
        <v>4000</v>
      </c>
      <c r="S79" s="1">
        <v>0</v>
      </c>
      <c r="T79" s="1"/>
      <c r="U79" s="1">
        <v>0</v>
      </c>
      <c r="V79" s="1">
        <v>200</v>
      </c>
      <c r="W79" s="1">
        <v>200</v>
      </c>
      <c r="X79" s="1"/>
      <c r="AA79" s="1"/>
    </row>
    <row r="80" spans="1:27" x14ac:dyDescent="0.4">
      <c r="A80" t="s">
        <v>224</v>
      </c>
      <c r="B80" t="s">
        <v>225</v>
      </c>
      <c r="C80" t="s">
        <v>14</v>
      </c>
      <c r="D80" t="s">
        <v>171</v>
      </c>
      <c r="E80" t="s">
        <v>172</v>
      </c>
      <c r="L80" s="1">
        <v>117000</v>
      </c>
      <c r="M80" s="1">
        <v>75000</v>
      </c>
      <c r="N80" s="1"/>
      <c r="O80" s="1">
        <v>42642</v>
      </c>
      <c r="P80" s="1">
        <v>43223</v>
      </c>
      <c r="Q80" s="1">
        <v>50000</v>
      </c>
      <c r="R80" s="1">
        <v>50000</v>
      </c>
      <c r="S80" s="1">
        <v>50000</v>
      </c>
      <c r="T80" s="1">
        <v>60000</v>
      </c>
      <c r="U80" s="1">
        <v>40000</v>
      </c>
      <c r="V80" s="1">
        <v>38197</v>
      </c>
      <c r="W80" s="1">
        <v>50000</v>
      </c>
      <c r="X80" s="1"/>
      <c r="AA80" s="1"/>
    </row>
    <row r="81" spans="1:27" x14ac:dyDescent="0.4">
      <c r="A81" t="s">
        <v>224</v>
      </c>
      <c r="B81" t="s">
        <v>225</v>
      </c>
      <c r="C81" t="s">
        <v>14</v>
      </c>
      <c r="D81" t="s">
        <v>233</v>
      </c>
      <c r="E81" t="s">
        <v>234</v>
      </c>
      <c r="L81" s="1">
        <v>0</v>
      </c>
      <c r="M81" s="1">
        <v>125000</v>
      </c>
      <c r="N81" s="1"/>
      <c r="O81" s="1">
        <v>274695</v>
      </c>
      <c r="P81" s="1">
        <v>218256</v>
      </c>
      <c r="Q81" s="1">
        <v>170000</v>
      </c>
      <c r="R81" s="1">
        <v>100000</v>
      </c>
      <c r="S81" s="1">
        <v>100000</v>
      </c>
      <c r="T81" s="1">
        <v>300000</v>
      </c>
      <c r="U81" s="1">
        <v>150000</v>
      </c>
      <c r="V81" s="1">
        <v>89229</v>
      </c>
      <c r="W81" s="1">
        <v>120000</v>
      </c>
      <c r="X81" s="1"/>
      <c r="AA81" s="1"/>
    </row>
    <row r="82" spans="1:27" x14ac:dyDescent="0.4">
      <c r="A82" t="s">
        <v>224</v>
      </c>
      <c r="B82" t="s">
        <v>225</v>
      </c>
      <c r="C82" t="s">
        <v>14</v>
      </c>
      <c r="D82" t="s">
        <v>174</v>
      </c>
      <c r="E82" t="s">
        <v>175</v>
      </c>
      <c r="L82" s="1">
        <v>0</v>
      </c>
      <c r="M82" s="1">
        <v>0</v>
      </c>
      <c r="N82" s="1"/>
      <c r="O82" s="1">
        <v>4066</v>
      </c>
      <c r="P82" s="1">
        <v>1302</v>
      </c>
      <c r="Q82" s="1">
        <v>3000</v>
      </c>
      <c r="R82" s="1">
        <v>3000</v>
      </c>
      <c r="S82" s="1">
        <v>3000</v>
      </c>
      <c r="T82" s="1">
        <v>6000</v>
      </c>
      <c r="U82" s="1">
        <v>3000</v>
      </c>
      <c r="V82" s="1">
        <v>3236</v>
      </c>
      <c r="W82" s="1">
        <v>5000</v>
      </c>
      <c r="X82" s="1"/>
      <c r="AA82" s="1"/>
    </row>
    <row r="83" spans="1:27" x14ac:dyDescent="0.4">
      <c r="A83" t="s">
        <v>224</v>
      </c>
      <c r="B83" t="s">
        <v>225</v>
      </c>
      <c r="C83" t="s">
        <v>14</v>
      </c>
      <c r="D83" t="s">
        <v>235</v>
      </c>
      <c r="E83" t="s">
        <v>236</v>
      </c>
      <c r="L83" s="1">
        <v>1000000</v>
      </c>
      <c r="M83" s="1">
        <v>1000000</v>
      </c>
      <c r="N83" s="1"/>
      <c r="O83" s="1">
        <v>994724</v>
      </c>
      <c r="P83" s="1">
        <v>654808</v>
      </c>
      <c r="Q83" s="1">
        <v>1000000</v>
      </c>
      <c r="R83" s="1">
        <v>1000000</v>
      </c>
      <c r="S83" s="1">
        <v>1100000</v>
      </c>
      <c r="T83" s="1">
        <v>2015000</v>
      </c>
      <c r="U83" s="1">
        <v>1623000</v>
      </c>
      <c r="V83" s="1">
        <v>893499</v>
      </c>
      <c r="W83" s="1">
        <v>1530000</v>
      </c>
      <c r="X83" s="1"/>
      <c r="AA83" s="1"/>
    </row>
    <row r="84" spans="1:27" x14ac:dyDescent="0.4">
      <c r="A84" t="s">
        <v>224</v>
      </c>
      <c r="B84" t="s">
        <v>225</v>
      </c>
      <c r="C84" t="s">
        <v>14</v>
      </c>
      <c r="D84" t="s">
        <v>176</v>
      </c>
      <c r="E84" t="s">
        <v>177</v>
      </c>
      <c r="L84" s="1">
        <v>350000</v>
      </c>
      <c r="M84" s="1">
        <v>320000</v>
      </c>
      <c r="N84" s="1"/>
      <c r="O84" s="1">
        <v>294448</v>
      </c>
      <c r="P84" s="1">
        <v>311537</v>
      </c>
      <c r="Q84" s="1">
        <v>320000</v>
      </c>
      <c r="R84" s="1">
        <v>300000</v>
      </c>
      <c r="S84" s="1">
        <v>320000</v>
      </c>
      <c r="T84" s="1">
        <v>331000</v>
      </c>
      <c r="U84" s="1">
        <v>330000</v>
      </c>
      <c r="V84" s="1">
        <v>380129</v>
      </c>
      <c r="W84" s="1">
        <v>380000</v>
      </c>
      <c r="X84" s="1"/>
      <c r="AA84" s="1"/>
    </row>
    <row r="85" spans="1:27" x14ac:dyDescent="0.4">
      <c r="A85" t="s">
        <v>224</v>
      </c>
      <c r="B85" t="s">
        <v>225</v>
      </c>
      <c r="C85" t="s">
        <v>14</v>
      </c>
      <c r="D85" t="s">
        <v>237</v>
      </c>
      <c r="E85" t="s">
        <v>238</v>
      </c>
      <c r="H85" s="35" t="s">
        <v>239</v>
      </c>
      <c r="L85" s="1">
        <v>0</v>
      </c>
      <c r="M85" s="1">
        <v>0</v>
      </c>
      <c r="N85" s="1"/>
      <c r="O85" s="1">
        <v>0</v>
      </c>
      <c r="P85" s="1">
        <v>33600</v>
      </c>
      <c r="Q85" s="1">
        <v>33600</v>
      </c>
      <c r="X85" s="1"/>
      <c r="AA85" s="1"/>
    </row>
    <row r="86" spans="1:27" x14ac:dyDescent="0.4">
      <c r="A86" t="s">
        <v>224</v>
      </c>
      <c r="B86" t="s">
        <v>225</v>
      </c>
      <c r="C86" t="s">
        <v>14</v>
      </c>
      <c r="D86" t="s">
        <v>178</v>
      </c>
      <c r="E86" t="s">
        <v>179</v>
      </c>
      <c r="L86" s="1">
        <v>150000</v>
      </c>
      <c r="M86" s="1">
        <v>150000</v>
      </c>
      <c r="N86" s="1"/>
      <c r="O86" s="1">
        <v>126302</v>
      </c>
      <c r="P86" s="1">
        <v>79391</v>
      </c>
      <c r="Q86" s="1">
        <v>80000</v>
      </c>
      <c r="R86" s="1">
        <v>150000</v>
      </c>
      <c r="S86" s="1">
        <v>110000</v>
      </c>
      <c r="T86" s="1">
        <v>80000</v>
      </c>
      <c r="U86" s="1">
        <v>140000</v>
      </c>
      <c r="V86" s="1">
        <v>108869</v>
      </c>
      <c r="W86" s="1">
        <v>150000</v>
      </c>
      <c r="X86" s="1"/>
      <c r="AA86" s="1"/>
    </row>
    <row r="87" spans="1:27" x14ac:dyDescent="0.4">
      <c r="A87" t="s">
        <v>224</v>
      </c>
      <c r="B87" t="s">
        <v>225</v>
      </c>
      <c r="C87" t="s">
        <v>14</v>
      </c>
      <c r="D87" t="s">
        <v>180</v>
      </c>
      <c r="E87" t="s">
        <v>181</v>
      </c>
      <c r="L87" s="1">
        <v>0</v>
      </c>
      <c r="M87" s="1">
        <v>16000</v>
      </c>
      <c r="N87" s="1"/>
      <c r="O87" s="1">
        <v>20769</v>
      </c>
      <c r="P87" s="1">
        <v>163095</v>
      </c>
      <c r="Q87" s="1">
        <v>100000</v>
      </c>
      <c r="R87" s="1">
        <v>30000</v>
      </c>
      <c r="S87" s="1">
        <v>180000</v>
      </c>
      <c r="T87" s="1">
        <v>200000</v>
      </c>
      <c r="U87" s="1">
        <v>200000</v>
      </c>
      <c r="V87" s="1">
        <v>148120</v>
      </c>
      <c r="W87" s="1">
        <v>200000</v>
      </c>
      <c r="X87" s="1"/>
      <c r="AA87" s="1"/>
    </row>
    <row r="88" spans="1:27" x14ac:dyDescent="0.4">
      <c r="A88" t="s">
        <v>224</v>
      </c>
      <c r="B88" t="s">
        <v>225</v>
      </c>
      <c r="C88" t="s">
        <v>14</v>
      </c>
      <c r="D88" t="s">
        <v>182</v>
      </c>
      <c r="E88" t="s">
        <v>183</v>
      </c>
      <c r="L88" s="1">
        <v>100000</v>
      </c>
      <c r="M88" s="1">
        <v>100000</v>
      </c>
      <c r="N88" s="1"/>
      <c r="O88" s="1">
        <v>158155</v>
      </c>
      <c r="P88" s="1">
        <v>104659</v>
      </c>
      <c r="Q88" s="1">
        <v>120000</v>
      </c>
      <c r="R88" s="1">
        <v>120000</v>
      </c>
      <c r="S88" s="1">
        <v>120000</v>
      </c>
      <c r="T88" s="1">
        <v>120000</v>
      </c>
      <c r="U88" s="1">
        <v>70000</v>
      </c>
      <c r="V88" s="1">
        <v>102383</v>
      </c>
      <c r="W88" s="1">
        <v>70000</v>
      </c>
      <c r="X88" s="1"/>
      <c r="AA88" s="1"/>
    </row>
    <row r="89" spans="1:27" x14ac:dyDescent="0.4">
      <c r="A89" t="s">
        <v>224</v>
      </c>
      <c r="B89" t="s">
        <v>225</v>
      </c>
      <c r="C89" t="s">
        <v>14</v>
      </c>
      <c r="D89" t="s">
        <v>186</v>
      </c>
      <c r="E89" t="s">
        <v>187</v>
      </c>
      <c r="L89" s="1">
        <v>100000</v>
      </c>
      <c r="M89" s="1">
        <v>75000</v>
      </c>
      <c r="N89" s="1"/>
      <c r="O89" s="1">
        <v>8643</v>
      </c>
      <c r="P89" s="1">
        <v>6081</v>
      </c>
      <c r="Q89" s="1">
        <v>10000</v>
      </c>
      <c r="R89" s="1">
        <v>10000</v>
      </c>
      <c r="S89" s="1">
        <v>10000</v>
      </c>
      <c r="T89" s="1">
        <v>5000</v>
      </c>
      <c r="U89" s="1">
        <v>0</v>
      </c>
      <c r="V89" s="1">
        <v>1209</v>
      </c>
      <c r="W89" s="1">
        <v>2000</v>
      </c>
      <c r="X89" s="1"/>
      <c r="AA89" s="1"/>
    </row>
    <row r="90" spans="1:27" x14ac:dyDescent="0.4">
      <c r="A90" t="s">
        <v>224</v>
      </c>
      <c r="B90" t="s">
        <v>225</v>
      </c>
      <c r="C90" t="s">
        <v>14</v>
      </c>
      <c r="D90" t="s">
        <v>240</v>
      </c>
      <c r="E90" t="s">
        <v>241</v>
      </c>
      <c r="L90" s="1">
        <v>100000</v>
      </c>
      <c r="M90" s="1">
        <v>75000</v>
      </c>
      <c r="N90" s="1"/>
      <c r="O90" s="1">
        <v>67058</v>
      </c>
      <c r="P90" s="1"/>
      <c r="Q90" s="1"/>
      <c r="R90" s="1">
        <v>70000</v>
      </c>
      <c r="X90" s="1"/>
      <c r="AA90" s="1"/>
    </row>
    <row r="91" spans="1:27" x14ac:dyDescent="0.4">
      <c r="A91" s="4">
        <v>200</v>
      </c>
      <c r="B91" t="s">
        <v>225</v>
      </c>
      <c r="C91" t="s">
        <v>14</v>
      </c>
      <c r="D91" t="s">
        <v>188</v>
      </c>
      <c r="E91" t="s">
        <v>189</v>
      </c>
      <c r="L91" s="1">
        <v>125000</v>
      </c>
      <c r="M91" s="1">
        <v>500000</v>
      </c>
      <c r="N91" s="1"/>
      <c r="O91" s="1">
        <v>786840</v>
      </c>
      <c r="P91" s="1">
        <v>170694</v>
      </c>
      <c r="Q91" s="1">
        <v>800000</v>
      </c>
      <c r="R91" s="1">
        <v>800000</v>
      </c>
      <c r="S91" s="1">
        <v>200000</v>
      </c>
      <c r="T91" s="1">
        <v>650000</v>
      </c>
      <c r="U91" s="1">
        <v>350000</v>
      </c>
      <c r="V91" s="1">
        <v>336518</v>
      </c>
      <c r="W91" s="1">
        <v>400000</v>
      </c>
      <c r="X91" s="1"/>
      <c r="AA91" s="1"/>
    </row>
    <row r="92" spans="1:27" x14ac:dyDescent="0.4">
      <c r="A92" t="s">
        <v>224</v>
      </c>
      <c r="B92" t="s">
        <v>225</v>
      </c>
      <c r="C92" t="s">
        <v>14</v>
      </c>
      <c r="D92" s="4">
        <v>12500</v>
      </c>
      <c r="E92" t="s">
        <v>242</v>
      </c>
      <c r="L92" s="1">
        <v>0</v>
      </c>
      <c r="M92" s="1">
        <v>0</v>
      </c>
      <c r="N92" s="1"/>
      <c r="O92" s="1">
        <v>0</v>
      </c>
      <c r="P92" s="1">
        <v>714.24</v>
      </c>
      <c r="Q92" s="1"/>
      <c r="S92" s="1">
        <v>0</v>
      </c>
      <c r="T92" s="1"/>
      <c r="U92">
        <v>0</v>
      </c>
      <c r="X92" s="1"/>
      <c r="AA92" s="1"/>
    </row>
    <row r="93" spans="1:27" x14ac:dyDescent="0.4">
      <c r="A93" t="s">
        <v>224</v>
      </c>
      <c r="B93" t="s">
        <v>225</v>
      </c>
      <c r="C93" t="s">
        <v>14</v>
      </c>
      <c r="D93" t="s">
        <v>243</v>
      </c>
      <c r="E93" t="s">
        <v>244</v>
      </c>
      <c r="L93" s="1">
        <v>100000</v>
      </c>
      <c r="M93" s="1">
        <v>75000</v>
      </c>
      <c r="N93" s="1"/>
      <c r="O93" s="1">
        <v>86483</v>
      </c>
      <c r="P93" s="1">
        <v>37725</v>
      </c>
      <c r="Q93" s="1">
        <v>90000</v>
      </c>
      <c r="R93" s="1">
        <v>90000</v>
      </c>
      <c r="S93" s="1">
        <v>70000</v>
      </c>
      <c r="T93" s="1">
        <v>30000</v>
      </c>
      <c r="U93" s="1">
        <v>20000</v>
      </c>
      <c r="V93" s="1">
        <v>45650</v>
      </c>
      <c r="W93" s="1">
        <v>55000</v>
      </c>
      <c r="X93" s="1"/>
      <c r="AA93" s="1"/>
    </row>
    <row r="94" spans="1:27" x14ac:dyDescent="0.4">
      <c r="A94" t="s">
        <v>224</v>
      </c>
      <c r="B94" t="s">
        <v>225</v>
      </c>
      <c r="C94" t="s">
        <v>14</v>
      </c>
      <c r="D94" t="s">
        <v>245</v>
      </c>
      <c r="E94" t="s">
        <v>246</v>
      </c>
      <c r="L94" s="1">
        <v>210000</v>
      </c>
      <c r="M94" s="1">
        <v>125000</v>
      </c>
      <c r="N94" s="1"/>
      <c r="O94" s="1">
        <v>161462</v>
      </c>
      <c r="P94" s="1">
        <v>195008</v>
      </c>
      <c r="Q94" s="1">
        <v>170000</v>
      </c>
      <c r="R94" s="1">
        <v>170000</v>
      </c>
      <c r="S94" s="1">
        <v>200000</v>
      </c>
      <c r="T94" s="1">
        <v>200000</v>
      </c>
      <c r="U94" s="1">
        <v>250000</v>
      </c>
      <c r="V94" s="1">
        <v>100853</v>
      </c>
      <c r="W94" s="1">
        <v>170000</v>
      </c>
      <c r="X94" s="1"/>
      <c r="AA94" s="1"/>
    </row>
    <row r="95" spans="1:27" x14ac:dyDescent="0.4">
      <c r="A95" t="s">
        <v>224</v>
      </c>
      <c r="B95" t="s">
        <v>225</v>
      </c>
      <c r="C95" t="s">
        <v>14</v>
      </c>
      <c r="D95" t="s">
        <v>190</v>
      </c>
      <c r="E95" t="s">
        <v>247</v>
      </c>
      <c r="L95" s="1">
        <v>60000</v>
      </c>
      <c r="M95" s="1">
        <v>60000</v>
      </c>
      <c r="N95" s="1"/>
      <c r="O95" s="1">
        <v>55551</v>
      </c>
      <c r="P95" s="1"/>
      <c r="Q95" s="1">
        <v>60000</v>
      </c>
      <c r="R95" s="1">
        <v>60000</v>
      </c>
      <c r="S95" s="1">
        <v>0</v>
      </c>
      <c r="T95" s="1"/>
      <c r="U95" s="1">
        <v>0</v>
      </c>
      <c r="V95" s="1">
        <v>56986</v>
      </c>
      <c r="X95" s="1"/>
      <c r="AA95" s="1"/>
    </row>
    <row r="96" spans="1:27" x14ac:dyDescent="0.4">
      <c r="A96" s="4">
        <v>200</v>
      </c>
      <c r="B96" t="s">
        <v>225</v>
      </c>
      <c r="C96" t="s">
        <v>14</v>
      </c>
      <c r="D96" s="4">
        <v>13300</v>
      </c>
      <c r="E96" t="s">
        <v>248</v>
      </c>
      <c r="L96" s="1"/>
      <c r="M96" s="1"/>
      <c r="N96" s="1"/>
      <c r="O96" s="1"/>
      <c r="P96" s="1"/>
      <c r="Q96" s="1">
        <v>420000</v>
      </c>
      <c r="R96" s="1">
        <v>420000</v>
      </c>
      <c r="S96" s="28">
        <v>420000</v>
      </c>
      <c r="T96" s="28">
        <v>420000</v>
      </c>
      <c r="U96" s="1">
        <v>450000</v>
      </c>
      <c r="V96" s="1"/>
      <c r="W96" s="1">
        <v>450000</v>
      </c>
      <c r="X96" s="1"/>
      <c r="AA96" s="1"/>
    </row>
    <row r="97" spans="1:27" x14ac:dyDescent="0.4">
      <c r="A97" t="s">
        <v>224</v>
      </c>
      <c r="B97" t="s">
        <v>225</v>
      </c>
      <c r="C97" t="s">
        <v>14</v>
      </c>
      <c r="D97" t="s">
        <v>195</v>
      </c>
      <c r="E97" t="s">
        <v>11</v>
      </c>
      <c r="L97" s="1">
        <v>475000</v>
      </c>
      <c r="M97" s="1">
        <v>475000</v>
      </c>
      <c r="N97" s="1"/>
      <c r="O97" s="1">
        <v>606192</v>
      </c>
      <c r="P97" s="1">
        <v>410706</v>
      </c>
      <c r="Q97" s="1">
        <v>640000</v>
      </c>
      <c r="R97" s="1">
        <v>640000</v>
      </c>
      <c r="S97" s="1">
        <v>700000</v>
      </c>
      <c r="T97" s="1">
        <v>700000</v>
      </c>
      <c r="U97" s="1">
        <v>700000</v>
      </c>
      <c r="V97" s="1">
        <v>588990</v>
      </c>
      <c r="W97" s="1">
        <v>700000</v>
      </c>
      <c r="X97" s="1"/>
      <c r="AA97" s="1"/>
    </row>
    <row r="98" spans="1:27" x14ac:dyDescent="0.4">
      <c r="A98" t="s">
        <v>224</v>
      </c>
      <c r="B98" t="s">
        <v>225</v>
      </c>
      <c r="C98" t="s">
        <v>14</v>
      </c>
      <c r="D98" t="s">
        <v>249</v>
      </c>
      <c r="E98" t="s">
        <v>250</v>
      </c>
      <c r="L98" s="1">
        <v>380000</v>
      </c>
      <c r="M98" s="1">
        <v>380000</v>
      </c>
      <c r="N98" s="1"/>
      <c r="O98" s="1">
        <v>380000</v>
      </c>
      <c r="P98" s="1">
        <v>380000</v>
      </c>
      <c r="Q98" s="1">
        <v>380000</v>
      </c>
      <c r="R98" s="1">
        <v>380000</v>
      </c>
      <c r="S98" s="1">
        <v>380000</v>
      </c>
      <c r="T98" s="1">
        <v>380000</v>
      </c>
      <c r="U98" s="1">
        <v>380000</v>
      </c>
      <c r="V98" s="1"/>
      <c r="W98" s="1">
        <v>380000</v>
      </c>
      <c r="X98" s="1"/>
      <c r="AA98" s="1"/>
    </row>
    <row r="99" spans="1:27" x14ac:dyDescent="0.4">
      <c r="A99" s="4">
        <v>200</v>
      </c>
      <c r="B99" t="s">
        <v>225</v>
      </c>
      <c r="C99" t="s">
        <v>14</v>
      </c>
      <c r="D99" s="4">
        <v>14700</v>
      </c>
      <c r="E99" t="s">
        <v>196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X99" s="1"/>
      <c r="AA99" s="1"/>
    </row>
    <row r="100" spans="1:27" x14ac:dyDescent="0.4">
      <c r="A100" t="s">
        <v>224</v>
      </c>
      <c r="B100" t="s">
        <v>225</v>
      </c>
      <c r="C100" t="s">
        <v>14</v>
      </c>
      <c r="D100" t="s">
        <v>251</v>
      </c>
      <c r="E100" t="s">
        <v>32</v>
      </c>
      <c r="L100" s="1">
        <v>0</v>
      </c>
      <c r="M100" s="1">
        <v>1000</v>
      </c>
      <c r="N100" s="1"/>
      <c r="O100" s="1">
        <v>3316</v>
      </c>
      <c r="P100" s="1">
        <v>761</v>
      </c>
      <c r="Q100" s="1">
        <v>3000</v>
      </c>
      <c r="R100" s="1">
        <v>3000</v>
      </c>
      <c r="S100" s="1">
        <v>3000</v>
      </c>
      <c r="T100" s="1">
        <v>3000</v>
      </c>
      <c r="U100" s="1">
        <v>3000</v>
      </c>
      <c r="V100" s="1"/>
      <c r="X100" s="1"/>
      <c r="AA100" s="1"/>
    </row>
    <row r="101" spans="1:27" x14ac:dyDescent="0.4">
      <c r="A101" s="4">
        <v>200</v>
      </c>
      <c r="B101" t="s">
        <v>225</v>
      </c>
      <c r="C101" t="s">
        <v>14</v>
      </c>
      <c r="D101" s="4">
        <v>15400</v>
      </c>
      <c r="E101" t="s">
        <v>34</v>
      </c>
      <c r="L101" s="1"/>
      <c r="M101" s="1"/>
      <c r="N101" s="1"/>
      <c r="O101" s="1"/>
      <c r="P101" s="1"/>
      <c r="Q101" s="1"/>
      <c r="R101" s="1"/>
      <c r="S101" s="1"/>
      <c r="T101" s="1">
        <v>220000</v>
      </c>
      <c r="U101" s="1"/>
      <c r="V101" s="1"/>
      <c r="X101" s="1"/>
      <c r="AA101" s="1"/>
    </row>
    <row r="102" spans="1:27" x14ac:dyDescent="0.4">
      <c r="A102" s="4">
        <v>200</v>
      </c>
      <c r="B102" t="s">
        <v>225</v>
      </c>
      <c r="C102" t="s">
        <v>14</v>
      </c>
      <c r="D102" s="4">
        <v>15700</v>
      </c>
      <c r="E102" t="s">
        <v>252</v>
      </c>
      <c r="L102" s="1"/>
      <c r="M102" s="1"/>
      <c r="N102" s="1"/>
      <c r="O102" s="1">
        <v>269729</v>
      </c>
      <c r="P102" s="1"/>
      <c r="Q102" s="1"/>
      <c r="R102" s="1"/>
      <c r="T102" s="1">
        <v>500000</v>
      </c>
      <c r="X102" s="1"/>
      <c r="AA102" s="1"/>
    </row>
    <row r="103" spans="1:27" x14ac:dyDescent="0.4">
      <c r="A103" t="s">
        <v>224</v>
      </c>
      <c r="B103" t="s">
        <v>225</v>
      </c>
      <c r="C103" t="s">
        <v>14</v>
      </c>
      <c r="D103" t="s">
        <v>199</v>
      </c>
      <c r="E103" t="s">
        <v>35</v>
      </c>
      <c r="L103" s="1">
        <v>2000000</v>
      </c>
      <c r="M103" s="1">
        <v>2000000</v>
      </c>
      <c r="N103" s="1"/>
      <c r="O103" s="1">
        <v>3496672</v>
      </c>
      <c r="P103" s="1"/>
      <c r="Q103" s="1">
        <v>3700000</v>
      </c>
      <c r="R103" s="1">
        <v>3700000</v>
      </c>
      <c r="S103" s="1">
        <v>4000000</v>
      </c>
      <c r="T103" s="1">
        <v>4000000</v>
      </c>
      <c r="U103" s="1">
        <v>3500000</v>
      </c>
      <c r="V103" s="1"/>
      <c r="W103" s="1">
        <v>3500000</v>
      </c>
      <c r="X103" s="1"/>
      <c r="AA103" s="1"/>
    </row>
    <row r="104" spans="1:27" x14ac:dyDescent="0.4">
      <c r="A104" s="2">
        <v>200</v>
      </c>
      <c r="B104" s="2" t="s">
        <v>14</v>
      </c>
      <c r="C104" s="2"/>
      <c r="D104" s="2"/>
      <c r="E104" s="2"/>
      <c r="F104" s="2"/>
      <c r="G104" s="2"/>
      <c r="H104" s="2"/>
      <c r="I104" s="2"/>
      <c r="J104" s="2"/>
      <c r="K104" s="2"/>
      <c r="L104" s="3">
        <f>SUM(L61:L103)</f>
        <v>15662000</v>
      </c>
      <c r="M104" s="3">
        <f>SUM(M61:M103)</f>
        <v>16274000</v>
      </c>
      <c r="N104" s="3"/>
      <c r="O104" s="3">
        <f t="shared" ref="O104:W104" si="2">SUM(O61:O103)</f>
        <v>17788633</v>
      </c>
      <c r="P104" s="3">
        <f t="shared" si="2"/>
        <v>13398667.460000001</v>
      </c>
      <c r="Q104" s="3">
        <f t="shared" si="2"/>
        <v>20519600</v>
      </c>
      <c r="R104" s="3">
        <f t="shared" si="2"/>
        <v>20748000</v>
      </c>
      <c r="S104" s="3">
        <f t="shared" si="2"/>
        <v>21356000</v>
      </c>
      <c r="T104" s="3">
        <f t="shared" si="2"/>
        <v>23640250</v>
      </c>
      <c r="U104" s="3">
        <f t="shared" si="2"/>
        <v>21722700</v>
      </c>
      <c r="V104" s="3">
        <f t="shared" si="2"/>
        <v>11509542</v>
      </c>
      <c r="W104" s="3">
        <f t="shared" si="2"/>
        <v>22159900</v>
      </c>
      <c r="X104" s="1"/>
    </row>
    <row r="105" spans="1:27" x14ac:dyDescent="0.4">
      <c r="L105" s="1"/>
      <c r="M105" s="1"/>
      <c r="N105" s="1"/>
      <c r="O105" s="1"/>
      <c r="P105" s="1"/>
      <c r="Q105" s="1"/>
    </row>
    <row r="106" spans="1:27" x14ac:dyDescent="0.4">
      <c r="L106" s="1"/>
      <c r="M106" s="1"/>
      <c r="N106" s="1"/>
      <c r="O106" s="1"/>
      <c r="P106" s="1"/>
      <c r="Q106" s="1"/>
    </row>
    <row r="107" spans="1:27" x14ac:dyDescent="0.4">
      <c r="A107" t="s">
        <v>224</v>
      </c>
      <c r="B107" t="s">
        <v>225</v>
      </c>
      <c r="C107" t="s">
        <v>26</v>
      </c>
      <c r="D107" t="s">
        <v>253</v>
      </c>
      <c r="E107" t="s">
        <v>254</v>
      </c>
      <c r="L107" s="1">
        <v>-220000</v>
      </c>
      <c r="M107" s="1">
        <v>-250000</v>
      </c>
      <c r="N107" s="1"/>
      <c r="O107" s="1">
        <v>-369950</v>
      </c>
      <c r="P107" s="1">
        <v>-306650</v>
      </c>
      <c r="Q107" s="1">
        <v>-350000</v>
      </c>
      <c r="R107" s="1">
        <v>-400000</v>
      </c>
      <c r="S107" s="1">
        <v>-300000</v>
      </c>
      <c r="T107" s="1">
        <v>-330000</v>
      </c>
      <c r="U107" s="1">
        <v>-400000</v>
      </c>
      <c r="V107" s="1">
        <v>-249400</v>
      </c>
      <c r="W107" s="1">
        <v>-370000</v>
      </c>
      <c r="Y107" s="1"/>
    </row>
    <row r="108" spans="1:27" x14ac:dyDescent="0.4">
      <c r="A108" t="s">
        <v>224</v>
      </c>
      <c r="B108" t="s">
        <v>225</v>
      </c>
      <c r="C108" t="s">
        <v>26</v>
      </c>
      <c r="D108" t="s">
        <v>200</v>
      </c>
      <c r="E108" t="s">
        <v>201</v>
      </c>
      <c r="L108" s="1">
        <v>-120000</v>
      </c>
      <c r="M108" s="1">
        <v>-100000</v>
      </c>
      <c r="N108" s="1"/>
      <c r="O108" s="1">
        <v>-122879</v>
      </c>
      <c r="P108" s="1">
        <v>-86200</v>
      </c>
      <c r="Q108" s="1">
        <v>-100000</v>
      </c>
      <c r="R108" s="1">
        <v>-130000</v>
      </c>
      <c r="S108" s="1">
        <v>-80000</v>
      </c>
      <c r="T108" s="1">
        <v>-80000</v>
      </c>
      <c r="U108" s="1">
        <v>-100000</v>
      </c>
      <c r="V108" s="1">
        <v>-110910</v>
      </c>
      <c r="W108" s="1">
        <v>-140000</v>
      </c>
      <c r="Y108" s="1"/>
    </row>
    <row r="109" spans="1:27" x14ac:dyDescent="0.4">
      <c r="A109" t="s">
        <v>224</v>
      </c>
      <c r="B109" t="s">
        <v>225</v>
      </c>
      <c r="C109" t="s">
        <v>26</v>
      </c>
      <c r="D109" t="s">
        <v>255</v>
      </c>
      <c r="E109" t="s">
        <v>256</v>
      </c>
      <c r="L109" s="1">
        <v>-55000</v>
      </c>
      <c r="M109" s="1">
        <v>-55000</v>
      </c>
      <c r="N109" s="1"/>
      <c r="O109" s="1">
        <v>-21838</v>
      </c>
      <c r="P109" s="1">
        <v>-4118</v>
      </c>
      <c r="Q109" s="1">
        <v>-140000</v>
      </c>
      <c r="R109" s="1">
        <v>-50000</v>
      </c>
      <c r="S109" s="1">
        <v>-140000</v>
      </c>
      <c r="T109" s="1">
        <v>-100000</v>
      </c>
      <c r="U109" s="1">
        <v>-50000</v>
      </c>
      <c r="V109" s="1"/>
      <c r="W109" s="1">
        <v>-40000</v>
      </c>
      <c r="Y109" s="1"/>
    </row>
    <row r="110" spans="1:27" x14ac:dyDescent="0.4">
      <c r="A110" t="s">
        <v>224</v>
      </c>
      <c r="B110" t="s">
        <v>225</v>
      </c>
      <c r="C110" t="s">
        <v>26</v>
      </c>
      <c r="D110" t="s">
        <v>257</v>
      </c>
      <c r="E110" t="s">
        <v>258</v>
      </c>
      <c r="L110" s="1">
        <v>-200000</v>
      </c>
      <c r="M110" s="1">
        <v>-125000</v>
      </c>
      <c r="N110" s="1"/>
      <c r="O110" s="1">
        <v>-130720</v>
      </c>
      <c r="P110" s="1">
        <v>-113275</v>
      </c>
      <c r="Q110" s="1">
        <v>-140000</v>
      </c>
      <c r="R110" s="1">
        <v>-140000</v>
      </c>
      <c r="S110" s="1">
        <v>-190000</v>
      </c>
      <c r="T110" s="1">
        <v>-190000</v>
      </c>
      <c r="U110" s="1">
        <v>-250000</v>
      </c>
      <c r="V110" s="1">
        <v>-106905</v>
      </c>
      <c r="W110" s="1">
        <v>-180000</v>
      </c>
      <c r="Y110" s="1"/>
    </row>
    <row r="111" spans="1:27" x14ac:dyDescent="0.4">
      <c r="A111" s="4">
        <v>200</v>
      </c>
      <c r="B111" t="s">
        <v>225</v>
      </c>
      <c r="C111" t="s">
        <v>26</v>
      </c>
      <c r="D111" s="4">
        <v>17000</v>
      </c>
      <c r="E111" t="s">
        <v>259</v>
      </c>
      <c r="L111" s="1"/>
      <c r="M111" s="1"/>
      <c r="N111" s="1"/>
      <c r="O111" s="1"/>
      <c r="P111" s="1">
        <v>-20900</v>
      </c>
      <c r="Q111" s="1"/>
      <c r="R111" s="1"/>
      <c r="Y111" s="1"/>
    </row>
    <row r="112" spans="1:27" x14ac:dyDescent="0.4">
      <c r="A112" t="s">
        <v>224</v>
      </c>
      <c r="B112" t="s">
        <v>225</v>
      </c>
      <c r="C112" t="s">
        <v>26</v>
      </c>
      <c r="D112" t="s">
        <v>205</v>
      </c>
      <c r="E112" t="s">
        <v>206</v>
      </c>
      <c r="L112" s="1">
        <v>0</v>
      </c>
      <c r="M112" s="1">
        <v>-270000</v>
      </c>
      <c r="N112" s="1"/>
      <c r="O112" s="1">
        <v>-380210</v>
      </c>
      <c r="P112" s="1">
        <v>-162821</v>
      </c>
      <c r="Q112" s="1">
        <v>-180000</v>
      </c>
      <c r="R112" s="1"/>
      <c r="S112" s="1">
        <v>-265000</v>
      </c>
      <c r="T112" s="1">
        <v>-265000</v>
      </c>
      <c r="V112" s="1">
        <v>27947</v>
      </c>
      <c r="W112" s="1">
        <v>-30000</v>
      </c>
      <c r="Y112" s="1"/>
    </row>
    <row r="113" spans="1:27" x14ac:dyDescent="0.4">
      <c r="A113" t="s">
        <v>224</v>
      </c>
      <c r="B113" t="s">
        <v>225</v>
      </c>
      <c r="C113" t="s">
        <v>26</v>
      </c>
      <c r="D113" t="s">
        <v>207</v>
      </c>
      <c r="E113" t="s">
        <v>208</v>
      </c>
      <c r="L113" s="1">
        <v>-475000</v>
      </c>
      <c r="M113" s="1">
        <v>-475000</v>
      </c>
      <c r="N113" s="1"/>
      <c r="O113" s="1">
        <v>-606195</v>
      </c>
      <c r="P113" s="1">
        <v>-410705</v>
      </c>
      <c r="Q113" s="1">
        <v>-640000</v>
      </c>
      <c r="R113" s="1">
        <v>-640000</v>
      </c>
      <c r="S113" s="1">
        <v>-700000</v>
      </c>
      <c r="T113" s="1">
        <v>-700000</v>
      </c>
      <c r="U113" s="1">
        <v>-700000</v>
      </c>
      <c r="V113" s="1">
        <v>-588990</v>
      </c>
      <c r="W113" s="1">
        <v>-700000</v>
      </c>
      <c r="Y113" s="1"/>
    </row>
    <row r="114" spans="1:27" x14ac:dyDescent="0.4">
      <c r="A114" t="s">
        <v>224</v>
      </c>
      <c r="B114" t="s">
        <v>225</v>
      </c>
      <c r="C114" t="s">
        <v>26</v>
      </c>
      <c r="D114" t="s">
        <v>209</v>
      </c>
      <c r="E114" t="s">
        <v>210</v>
      </c>
      <c r="L114" s="1">
        <v>-260000</v>
      </c>
      <c r="M114" s="1">
        <v>-260000</v>
      </c>
      <c r="N114" s="1"/>
      <c r="O114" s="1">
        <v>-274643</v>
      </c>
      <c r="P114" s="1">
        <v>-29227</v>
      </c>
      <c r="Q114" s="1"/>
      <c r="R114" s="1">
        <v>-300000</v>
      </c>
      <c r="T114" s="1">
        <v>-120000</v>
      </c>
      <c r="Y114" s="1"/>
    </row>
    <row r="115" spans="1:27" x14ac:dyDescent="0.4">
      <c r="A115" t="s">
        <v>224</v>
      </c>
      <c r="B115" t="s">
        <v>225</v>
      </c>
      <c r="C115" t="s">
        <v>26</v>
      </c>
      <c r="D115" t="s">
        <v>211</v>
      </c>
      <c r="E115" t="s">
        <v>212</v>
      </c>
      <c r="L115" s="1">
        <v>-25000</v>
      </c>
      <c r="M115" s="1">
        <v>-5000</v>
      </c>
      <c r="N115" s="1"/>
      <c r="O115" s="1">
        <v>-4232</v>
      </c>
      <c r="P115" s="1">
        <v>-6542</v>
      </c>
      <c r="Q115" s="1">
        <v>-5000</v>
      </c>
      <c r="R115" s="1">
        <v>-5000</v>
      </c>
      <c r="S115" s="1">
        <v>-10000</v>
      </c>
      <c r="T115" s="1">
        <v>-90000</v>
      </c>
      <c r="U115" s="1">
        <v>-205000</v>
      </c>
      <c r="V115" s="1">
        <v>-179205</v>
      </c>
      <c r="W115">
        <v>-530000</v>
      </c>
      <c r="Y115" s="1"/>
    </row>
    <row r="116" spans="1:27" x14ac:dyDescent="0.4">
      <c r="A116" s="4">
        <v>200</v>
      </c>
      <c r="B116" t="s">
        <v>225</v>
      </c>
      <c r="C116" t="s">
        <v>26</v>
      </c>
      <c r="D116" s="4">
        <v>17800</v>
      </c>
      <c r="E116" t="s">
        <v>91</v>
      </c>
      <c r="L116" s="1"/>
      <c r="M116" s="1"/>
      <c r="N116" s="1"/>
      <c r="O116" s="1"/>
      <c r="P116" s="1">
        <v>-22886</v>
      </c>
      <c r="Q116" s="1"/>
      <c r="R116" s="1"/>
      <c r="S116" s="1"/>
      <c r="T116" s="1"/>
      <c r="Y116" s="1"/>
    </row>
    <row r="117" spans="1:27" x14ac:dyDescent="0.4">
      <c r="A117" s="4">
        <v>200</v>
      </c>
      <c r="B117" t="s">
        <v>225</v>
      </c>
      <c r="C117" t="s">
        <v>26</v>
      </c>
      <c r="D117" s="4">
        <v>18000</v>
      </c>
      <c r="E117" t="s">
        <v>260</v>
      </c>
      <c r="L117" s="1"/>
      <c r="M117" s="1"/>
      <c r="N117" s="1"/>
      <c r="O117" s="1"/>
      <c r="P117" s="1"/>
      <c r="Q117" s="1"/>
      <c r="R117" s="1"/>
      <c r="S117" s="1"/>
      <c r="T117" s="1">
        <v>-315000</v>
      </c>
      <c r="U117" s="1">
        <v>-315000</v>
      </c>
      <c r="V117" s="1"/>
      <c r="W117" s="1">
        <v>-315000</v>
      </c>
      <c r="Y117" s="1"/>
    </row>
    <row r="118" spans="1:27" x14ac:dyDescent="0.4">
      <c r="A118" t="s">
        <v>224</v>
      </c>
      <c r="B118" t="s">
        <v>225</v>
      </c>
      <c r="C118" t="s">
        <v>26</v>
      </c>
      <c r="D118" t="s">
        <v>216</v>
      </c>
      <c r="E118" t="s">
        <v>61</v>
      </c>
      <c r="H118" s="35" t="s">
        <v>261</v>
      </c>
      <c r="L118" s="1">
        <v>0</v>
      </c>
      <c r="M118" s="1">
        <v>0</v>
      </c>
      <c r="N118" s="1"/>
      <c r="O118" s="1">
        <v>-120000</v>
      </c>
      <c r="P118" s="1">
        <v>-454035</v>
      </c>
      <c r="Q118" s="1">
        <v>-690000</v>
      </c>
      <c r="R118" s="1">
        <v>-690000</v>
      </c>
      <c r="S118" s="1">
        <v>-750000</v>
      </c>
      <c r="T118" s="1">
        <v>-750000</v>
      </c>
      <c r="U118" s="1">
        <v>-765000</v>
      </c>
      <c r="V118" s="1">
        <v>-400000</v>
      </c>
      <c r="Y118" s="1"/>
    </row>
    <row r="119" spans="1:27" x14ac:dyDescent="0.4">
      <c r="A119" t="s">
        <v>224</v>
      </c>
      <c r="B119" t="s">
        <v>225</v>
      </c>
      <c r="C119" t="s">
        <v>26</v>
      </c>
      <c r="D119" t="s">
        <v>218</v>
      </c>
      <c r="E119" t="s">
        <v>219</v>
      </c>
      <c r="L119" s="1">
        <v>-12307000</v>
      </c>
      <c r="M119" s="1">
        <v>-12307000</v>
      </c>
      <c r="N119" s="1"/>
      <c r="O119" s="1">
        <v>-12307030</v>
      </c>
      <c r="P119" s="1">
        <v>-14023300</v>
      </c>
      <c r="Q119" s="1">
        <v>-13486300</v>
      </c>
      <c r="R119" s="1">
        <v>-13186300</v>
      </c>
      <c r="S119" s="1">
        <v>-14836000</v>
      </c>
      <c r="T119" s="1">
        <v>-15336000</v>
      </c>
      <c r="U119" s="40">
        <v>-15771000</v>
      </c>
      <c r="V119" s="40">
        <v>-15842800</v>
      </c>
      <c r="W119" s="1">
        <v>-15842800</v>
      </c>
      <c r="Y119" s="1"/>
    </row>
    <row r="120" spans="1:27" x14ac:dyDescent="0.4">
      <c r="A120" t="s">
        <v>224</v>
      </c>
      <c r="B120" t="s">
        <v>225</v>
      </c>
      <c r="C120" t="s">
        <v>26</v>
      </c>
      <c r="D120" t="s">
        <v>262</v>
      </c>
      <c r="E120" t="s">
        <v>263</v>
      </c>
      <c r="L120" s="1">
        <v>0</v>
      </c>
      <c r="M120" s="1">
        <v>0</v>
      </c>
      <c r="N120" s="1"/>
      <c r="O120" s="1">
        <v>-43445</v>
      </c>
      <c r="P120" s="1">
        <v>-86172.19</v>
      </c>
      <c r="Q120" s="1">
        <v>-70000</v>
      </c>
      <c r="R120" s="1">
        <v>-50000</v>
      </c>
      <c r="S120" s="1">
        <v>-100000</v>
      </c>
      <c r="T120" s="1">
        <v>-60000</v>
      </c>
      <c r="U120" s="1">
        <v>-90000</v>
      </c>
      <c r="V120" s="1">
        <v>-33030</v>
      </c>
      <c r="W120" s="1">
        <v>-33000</v>
      </c>
      <c r="Y120" s="1"/>
    </row>
    <row r="121" spans="1:27" x14ac:dyDescent="0.4">
      <c r="A121" t="s">
        <v>224</v>
      </c>
      <c r="B121" t="s">
        <v>225</v>
      </c>
      <c r="C121" t="s">
        <v>26</v>
      </c>
      <c r="D121" t="s">
        <v>221</v>
      </c>
      <c r="E121" t="s">
        <v>264</v>
      </c>
      <c r="F121" s="30"/>
      <c r="L121" s="1">
        <v>0</v>
      </c>
      <c r="M121" s="1">
        <v>-411000</v>
      </c>
      <c r="N121" s="1"/>
      <c r="O121" s="1">
        <v>-132350</v>
      </c>
      <c r="P121" s="1"/>
      <c r="Q121" s="1"/>
      <c r="R121" s="1"/>
      <c r="S121" s="30"/>
      <c r="T121" s="30"/>
      <c r="U121" s="1">
        <v>-310300</v>
      </c>
      <c r="W121" s="1"/>
      <c r="Y121" s="1"/>
    </row>
    <row r="122" spans="1:27" x14ac:dyDescent="0.4">
      <c r="A122" s="4">
        <v>200</v>
      </c>
      <c r="B122" t="s">
        <v>225</v>
      </c>
      <c r="C122" t="s">
        <v>26</v>
      </c>
      <c r="D122" s="4">
        <v>19400</v>
      </c>
      <c r="E122" t="s">
        <v>265</v>
      </c>
      <c r="L122" s="1"/>
      <c r="M122" s="1"/>
      <c r="N122" s="1"/>
      <c r="O122" s="1"/>
      <c r="P122" s="1"/>
      <c r="Q122" s="1">
        <v>-466000</v>
      </c>
      <c r="R122" s="32">
        <v>-466000</v>
      </c>
      <c r="S122" s="28">
        <v>-265000</v>
      </c>
      <c r="T122" s="28">
        <v>-1084250</v>
      </c>
      <c r="W122" s="1"/>
      <c r="Y122" s="1"/>
    </row>
    <row r="123" spans="1:27" x14ac:dyDescent="0.4">
      <c r="A123" t="s">
        <v>224</v>
      </c>
      <c r="B123" t="s">
        <v>225</v>
      </c>
      <c r="C123" t="s">
        <v>26</v>
      </c>
      <c r="D123" t="s">
        <v>223</v>
      </c>
      <c r="E123" t="s">
        <v>43</v>
      </c>
      <c r="L123" s="1">
        <v>-2000000</v>
      </c>
      <c r="M123" s="1">
        <v>-2000000</v>
      </c>
      <c r="N123" s="1"/>
      <c r="O123" s="1">
        <v>-3496672</v>
      </c>
      <c r="P123" s="1"/>
      <c r="Q123" s="1">
        <v>-3700000</v>
      </c>
      <c r="R123" s="1">
        <v>-3700000</v>
      </c>
      <c r="S123" s="1">
        <v>-4000000</v>
      </c>
      <c r="T123" s="1">
        <v>-4000000</v>
      </c>
      <c r="U123" s="1">
        <v>-3500000</v>
      </c>
      <c r="V123" s="1"/>
      <c r="W123" s="1">
        <v>-3500000</v>
      </c>
      <c r="Y123" s="1"/>
    </row>
    <row r="124" spans="1:27" x14ac:dyDescent="0.4">
      <c r="A124" s="6">
        <v>200</v>
      </c>
      <c r="B124" s="2" t="s">
        <v>26</v>
      </c>
      <c r="C124" s="2"/>
      <c r="D124" s="2"/>
      <c r="E124" s="2"/>
      <c r="F124" s="2"/>
      <c r="G124" s="2"/>
      <c r="H124" s="2"/>
      <c r="I124" s="2"/>
      <c r="J124" s="2"/>
      <c r="K124" s="2"/>
      <c r="L124" s="3">
        <f>SUM(L107:L123)</f>
        <v>-15662000</v>
      </c>
      <c r="M124" s="3">
        <f>SUM(M107:M123)</f>
        <v>-16258000</v>
      </c>
      <c r="N124" s="3"/>
      <c r="O124" s="3">
        <f t="shared" ref="O124:W124" si="3">SUM(O107:O123)</f>
        <v>-18010164</v>
      </c>
      <c r="P124" s="3">
        <f t="shared" si="3"/>
        <v>-15726831.189999999</v>
      </c>
      <c r="Q124" s="3">
        <f t="shared" si="3"/>
        <v>-19967300</v>
      </c>
      <c r="R124" s="3">
        <f t="shared" si="3"/>
        <v>-19757300</v>
      </c>
      <c r="S124" s="3">
        <f t="shared" si="3"/>
        <v>-21636000</v>
      </c>
      <c r="T124" s="3">
        <f t="shared" si="3"/>
        <v>-23420250</v>
      </c>
      <c r="U124" s="3">
        <f t="shared" si="3"/>
        <v>-22456300</v>
      </c>
      <c r="V124" s="3">
        <f t="shared" si="3"/>
        <v>-17483293</v>
      </c>
      <c r="W124" s="3">
        <f t="shared" si="3"/>
        <v>-21680800</v>
      </c>
    </row>
    <row r="125" spans="1:27" x14ac:dyDescent="0.4">
      <c r="L125" s="1"/>
      <c r="M125" s="1"/>
      <c r="N125" s="1"/>
      <c r="O125" s="1"/>
      <c r="P125" s="1"/>
      <c r="Q125" s="1"/>
    </row>
    <row r="126" spans="1:27" x14ac:dyDescent="0.4">
      <c r="L126" s="1"/>
      <c r="M126" s="1"/>
      <c r="N126" s="1"/>
      <c r="O126" s="1"/>
      <c r="P126" s="1"/>
      <c r="Q126" s="1"/>
    </row>
    <row r="127" spans="1:27" x14ac:dyDescent="0.4">
      <c r="A127" t="s">
        <v>266</v>
      </c>
      <c r="B127" t="s">
        <v>267</v>
      </c>
      <c r="C127" t="s">
        <v>14</v>
      </c>
      <c r="D127" t="s">
        <v>132</v>
      </c>
      <c r="E127" t="s">
        <v>133</v>
      </c>
      <c r="L127" s="1">
        <v>2535000</v>
      </c>
      <c r="M127" s="1">
        <v>2915000</v>
      </c>
      <c r="N127" s="1"/>
      <c r="O127" s="1">
        <v>3348188</v>
      </c>
      <c r="P127" s="1">
        <v>3499345</v>
      </c>
      <c r="Q127" s="1">
        <v>4366000</v>
      </c>
      <c r="R127" s="1">
        <v>4366000</v>
      </c>
      <c r="S127" s="1">
        <v>4500000</v>
      </c>
      <c r="T127" s="1">
        <v>4300000</v>
      </c>
      <c r="U127" s="1">
        <v>4910000</v>
      </c>
      <c r="V127" s="1">
        <v>2662429</v>
      </c>
      <c r="W127" s="1">
        <v>4500000</v>
      </c>
      <c r="Y127" s="1"/>
      <c r="AA127" s="1"/>
    </row>
    <row r="128" spans="1:27" x14ac:dyDescent="0.4">
      <c r="A128" t="s">
        <v>266</v>
      </c>
      <c r="B128" t="s">
        <v>267</v>
      </c>
      <c r="C128" t="s">
        <v>14</v>
      </c>
      <c r="D128" t="s">
        <v>137</v>
      </c>
      <c r="E128" t="s">
        <v>138</v>
      </c>
      <c r="L128" s="1">
        <v>375000</v>
      </c>
      <c r="M128" s="1">
        <v>435000</v>
      </c>
      <c r="N128" s="1"/>
      <c r="O128" s="1">
        <v>0</v>
      </c>
      <c r="P128" s="1"/>
      <c r="Q128" s="1"/>
      <c r="S128" s="1"/>
      <c r="T128" s="1"/>
      <c r="Y128" s="1"/>
      <c r="AA128" s="1"/>
    </row>
    <row r="129" spans="1:27" x14ac:dyDescent="0.4">
      <c r="A129" t="s">
        <v>266</v>
      </c>
      <c r="B129" t="s">
        <v>267</v>
      </c>
      <c r="C129" t="s">
        <v>14</v>
      </c>
      <c r="D129" t="s">
        <v>226</v>
      </c>
      <c r="E129" t="s">
        <v>227</v>
      </c>
      <c r="L129" s="1">
        <v>580000</v>
      </c>
      <c r="M129" s="1">
        <v>580000</v>
      </c>
      <c r="N129" s="1"/>
      <c r="O129" s="1">
        <v>589184</v>
      </c>
      <c r="P129" s="1">
        <v>464962</v>
      </c>
      <c r="Q129" s="1">
        <v>420000</v>
      </c>
      <c r="R129" s="1">
        <v>420000</v>
      </c>
      <c r="S129" s="1">
        <v>450000</v>
      </c>
      <c r="T129" s="1">
        <v>450000</v>
      </c>
      <c r="U129" s="40">
        <v>550000</v>
      </c>
      <c r="V129" s="40">
        <v>320404</v>
      </c>
      <c r="W129" s="1">
        <v>400000</v>
      </c>
      <c r="X129" s="1"/>
      <c r="Y129" s="1"/>
      <c r="AA129" s="1"/>
    </row>
    <row r="130" spans="1:27" x14ac:dyDescent="0.4">
      <c r="A130" t="s">
        <v>266</v>
      </c>
      <c r="B130" t="s">
        <v>267</v>
      </c>
      <c r="C130" t="s">
        <v>14</v>
      </c>
      <c r="D130" t="s">
        <v>268</v>
      </c>
      <c r="E130" t="s">
        <v>229</v>
      </c>
      <c r="L130" s="1">
        <v>25000</v>
      </c>
      <c r="M130" s="1">
        <v>25000</v>
      </c>
      <c r="N130" s="1"/>
      <c r="O130" s="1">
        <v>0</v>
      </c>
      <c r="P130" s="1"/>
      <c r="Q130" s="1"/>
      <c r="R130" s="1">
        <v>0</v>
      </c>
      <c r="Y130" s="1"/>
      <c r="AA130" s="1"/>
    </row>
    <row r="131" spans="1:27" x14ac:dyDescent="0.4">
      <c r="A131" t="s">
        <v>266</v>
      </c>
      <c r="B131" t="s">
        <v>267</v>
      </c>
      <c r="C131" t="s">
        <v>14</v>
      </c>
      <c r="D131" t="s">
        <v>139</v>
      </c>
      <c r="E131" t="s">
        <v>140</v>
      </c>
      <c r="L131" s="1">
        <v>25000</v>
      </c>
      <c r="M131" s="1">
        <v>25000</v>
      </c>
      <c r="N131" s="1"/>
      <c r="O131" s="1">
        <v>19963</v>
      </c>
      <c r="P131" s="1">
        <v>83451</v>
      </c>
      <c r="Q131" s="1">
        <v>25000</v>
      </c>
      <c r="R131" s="1">
        <v>25000</v>
      </c>
      <c r="S131" s="1">
        <v>100000</v>
      </c>
      <c r="T131" s="1">
        <v>70000</v>
      </c>
      <c r="U131" s="1">
        <v>50000</v>
      </c>
      <c r="V131" s="1">
        <v>42284</v>
      </c>
      <c r="W131" s="1">
        <v>55000</v>
      </c>
      <c r="Y131" s="1"/>
      <c r="AA131" s="1"/>
    </row>
    <row r="132" spans="1:27" x14ac:dyDescent="0.4">
      <c r="A132" t="s">
        <v>266</v>
      </c>
      <c r="B132" t="s">
        <v>267</v>
      </c>
      <c r="C132" t="s">
        <v>14</v>
      </c>
      <c r="D132" t="s">
        <v>143</v>
      </c>
      <c r="E132" t="s">
        <v>144</v>
      </c>
      <c r="L132" s="1">
        <v>626000</v>
      </c>
      <c r="M132" s="1">
        <v>760000</v>
      </c>
      <c r="N132" s="1"/>
      <c r="O132" s="1">
        <v>525992</v>
      </c>
      <c r="P132" s="1">
        <v>576786</v>
      </c>
      <c r="Q132" s="1">
        <v>808000</v>
      </c>
      <c r="R132" s="1">
        <v>808000</v>
      </c>
      <c r="S132" s="1">
        <v>700000</v>
      </c>
      <c r="T132" s="1">
        <v>700000</v>
      </c>
      <c r="U132" s="1">
        <v>1080650</v>
      </c>
      <c r="V132" s="1">
        <v>692411</v>
      </c>
      <c r="W132" s="1">
        <v>1090650</v>
      </c>
      <c r="X132" s="1">
        <v>-186850</v>
      </c>
      <c r="Y132" s="1">
        <f>SUM(W132:X132)</f>
        <v>903800</v>
      </c>
      <c r="AA132" s="1"/>
    </row>
    <row r="133" spans="1:27" x14ac:dyDescent="0.4">
      <c r="A133" t="s">
        <v>266</v>
      </c>
      <c r="B133" t="s">
        <v>267</v>
      </c>
      <c r="C133" t="s">
        <v>14</v>
      </c>
      <c r="D133" t="s">
        <v>145</v>
      </c>
      <c r="E133" t="s">
        <v>146</v>
      </c>
      <c r="L133" s="1">
        <v>10000</v>
      </c>
      <c r="M133" s="1">
        <v>10000</v>
      </c>
      <c r="N133" s="1"/>
      <c r="O133" s="1">
        <v>11197</v>
      </c>
      <c r="P133" s="1">
        <v>10083</v>
      </c>
      <c r="Q133" s="1">
        <v>12000</v>
      </c>
      <c r="R133" s="1">
        <v>12000</v>
      </c>
      <c r="S133" s="1">
        <v>12000</v>
      </c>
      <c r="T133" s="1">
        <v>12000</v>
      </c>
      <c r="U133" s="1">
        <v>13000</v>
      </c>
      <c r="V133" s="1">
        <v>7121</v>
      </c>
      <c r="W133" s="1">
        <v>13000</v>
      </c>
      <c r="Y133" s="1"/>
      <c r="AA133" s="1"/>
    </row>
    <row r="134" spans="1:27" x14ac:dyDescent="0.4">
      <c r="A134" t="s">
        <v>266</v>
      </c>
      <c r="B134" t="s">
        <v>267</v>
      </c>
      <c r="C134" t="s">
        <v>14</v>
      </c>
      <c r="D134" t="s">
        <v>147</v>
      </c>
      <c r="E134" t="s">
        <v>148</v>
      </c>
      <c r="L134" s="1">
        <v>574000</v>
      </c>
      <c r="M134" s="1">
        <v>670000</v>
      </c>
      <c r="N134" s="1"/>
      <c r="O134" s="1">
        <v>573807</v>
      </c>
      <c r="P134" s="1">
        <v>652645</v>
      </c>
      <c r="Q134" s="1">
        <v>728000</v>
      </c>
      <c r="R134" s="1">
        <v>728000</v>
      </c>
      <c r="S134" s="1">
        <v>720000</v>
      </c>
      <c r="T134" s="1">
        <v>720000</v>
      </c>
      <c r="U134" s="1">
        <v>950000</v>
      </c>
      <c r="V134" s="1">
        <v>505822</v>
      </c>
      <c r="W134" s="1">
        <v>880000</v>
      </c>
      <c r="Y134" s="1"/>
      <c r="AA134" s="1"/>
    </row>
    <row r="135" spans="1:27" x14ac:dyDescent="0.4">
      <c r="A135" t="s">
        <v>266</v>
      </c>
      <c r="B135" t="s">
        <v>267</v>
      </c>
      <c r="C135" t="s">
        <v>14</v>
      </c>
      <c r="D135" t="s">
        <v>149</v>
      </c>
      <c r="E135" t="s">
        <v>150</v>
      </c>
      <c r="L135" s="1">
        <v>0</v>
      </c>
      <c r="M135" s="1">
        <v>5000</v>
      </c>
      <c r="N135" s="1"/>
      <c r="O135" s="1">
        <v>3054</v>
      </c>
      <c r="P135" s="1">
        <v>280</v>
      </c>
      <c r="Q135" s="1">
        <v>4000</v>
      </c>
      <c r="R135" s="1">
        <v>4000</v>
      </c>
      <c r="S135" s="1">
        <v>4000</v>
      </c>
      <c r="T135" s="1">
        <v>4000</v>
      </c>
      <c r="U135" s="1">
        <v>4000</v>
      </c>
      <c r="V135" s="1">
        <v>593</v>
      </c>
      <c r="W135" s="1">
        <v>2000</v>
      </c>
      <c r="Y135" s="1"/>
      <c r="AA135" s="1"/>
    </row>
    <row r="136" spans="1:27" x14ac:dyDescent="0.4">
      <c r="A136" t="s">
        <v>266</v>
      </c>
      <c r="B136" t="s">
        <v>267</v>
      </c>
      <c r="C136" t="s">
        <v>14</v>
      </c>
      <c r="D136" t="s">
        <v>151</v>
      </c>
      <c r="E136" t="s">
        <v>152</v>
      </c>
      <c r="L136" s="1">
        <v>45000</v>
      </c>
      <c r="M136" s="1">
        <v>155000</v>
      </c>
      <c r="N136" s="1"/>
      <c r="O136" s="1">
        <v>200807</v>
      </c>
      <c r="P136" s="1">
        <v>50820</v>
      </c>
      <c r="Q136" s="1">
        <v>60000</v>
      </c>
      <c r="R136" s="1">
        <v>60000</v>
      </c>
      <c r="S136" s="1">
        <v>35000</v>
      </c>
      <c r="T136" s="1">
        <v>45000</v>
      </c>
      <c r="U136" s="1">
        <v>60000</v>
      </c>
      <c r="V136" s="1">
        <v>31797</v>
      </c>
      <c r="W136" s="1">
        <v>45000</v>
      </c>
      <c r="Y136" s="1"/>
      <c r="AA136" s="1"/>
    </row>
    <row r="137" spans="1:27" x14ac:dyDescent="0.4">
      <c r="A137" t="s">
        <v>266</v>
      </c>
      <c r="B137" t="s">
        <v>267</v>
      </c>
      <c r="C137" t="s">
        <v>14</v>
      </c>
      <c r="D137" t="s">
        <v>153</v>
      </c>
      <c r="E137" t="s">
        <v>154</v>
      </c>
      <c r="L137" s="1">
        <v>40000</v>
      </c>
      <c r="M137" s="1">
        <v>40000</v>
      </c>
      <c r="N137" s="1"/>
      <c r="O137" s="1">
        <v>37618</v>
      </c>
      <c r="P137" s="1">
        <v>18054</v>
      </c>
      <c r="Q137" s="1">
        <v>30000</v>
      </c>
      <c r="R137" s="1">
        <v>45000</v>
      </c>
      <c r="S137" s="1">
        <v>40000</v>
      </c>
      <c r="T137" s="1">
        <v>20000</v>
      </c>
      <c r="U137" s="1">
        <v>20000</v>
      </c>
      <c r="V137" s="1">
        <v>17318</v>
      </c>
      <c r="W137" s="1">
        <v>20000</v>
      </c>
      <c r="Y137" s="1"/>
      <c r="AA137" s="1"/>
    </row>
    <row r="138" spans="1:27" x14ac:dyDescent="0.4">
      <c r="A138" s="4">
        <v>300</v>
      </c>
      <c r="B138" t="s">
        <v>267</v>
      </c>
      <c r="C138" t="s">
        <v>14</v>
      </c>
      <c r="D138" s="4">
        <v>11201</v>
      </c>
      <c r="E138" t="s">
        <v>269</v>
      </c>
      <c r="L138" s="1"/>
      <c r="M138" s="1"/>
      <c r="N138" s="1"/>
      <c r="O138" s="1"/>
      <c r="P138" s="1">
        <v>57281</v>
      </c>
      <c r="Q138" s="1">
        <v>40000</v>
      </c>
      <c r="R138" s="1">
        <v>40000</v>
      </c>
      <c r="S138" s="1">
        <v>35000</v>
      </c>
      <c r="T138" s="1">
        <v>45000</v>
      </c>
      <c r="U138" s="1">
        <v>40000</v>
      </c>
      <c r="V138" s="1">
        <v>34408</v>
      </c>
      <c r="W138" s="1">
        <v>40000</v>
      </c>
      <c r="Y138" s="1"/>
      <c r="AA138" s="1"/>
    </row>
    <row r="139" spans="1:27" x14ac:dyDescent="0.4">
      <c r="A139" t="s">
        <v>266</v>
      </c>
      <c r="B139" t="s">
        <v>267</v>
      </c>
      <c r="C139" t="s">
        <v>14</v>
      </c>
      <c r="D139" t="s">
        <v>155</v>
      </c>
      <c r="E139" t="s">
        <v>156</v>
      </c>
      <c r="L139" s="1">
        <v>0</v>
      </c>
      <c r="M139" s="1">
        <v>1000</v>
      </c>
      <c r="N139" s="1"/>
      <c r="O139" s="1">
        <v>305</v>
      </c>
      <c r="P139" s="1"/>
      <c r="Q139" s="1"/>
      <c r="R139" s="1">
        <v>0</v>
      </c>
      <c r="Y139" s="1"/>
      <c r="AA139" s="1"/>
    </row>
    <row r="140" spans="1:27" x14ac:dyDescent="0.4">
      <c r="A140" t="s">
        <v>266</v>
      </c>
      <c r="B140" t="s">
        <v>267</v>
      </c>
      <c r="C140" t="s">
        <v>14</v>
      </c>
      <c r="D140" t="s">
        <v>159</v>
      </c>
      <c r="E140" t="s">
        <v>160</v>
      </c>
      <c r="L140" s="1">
        <v>0</v>
      </c>
      <c r="M140" s="1">
        <v>10000</v>
      </c>
      <c r="N140" s="1"/>
      <c r="O140" s="1">
        <v>7861</v>
      </c>
      <c r="P140" s="1">
        <v>10339</v>
      </c>
      <c r="Q140" s="1">
        <v>9000</v>
      </c>
      <c r="R140" s="1">
        <v>7000</v>
      </c>
      <c r="S140" s="1">
        <v>5000</v>
      </c>
      <c r="T140" s="1">
        <v>6000</v>
      </c>
      <c r="U140" s="1">
        <v>10000</v>
      </c>
      <c r="V140" s="1">
        <v>7765</v>
      </c>
      <c r="W140" s="1">
        <v>10000</v>
      </c>
      <c r="Y140" s="1"/>
      <c r="AA140" s="1"/>
    </row>
    <row r="141" spans="1:27" x14ac:dyDescent="0.4">
      <c r="A141" t="s">
        <v>266</v>
      </c>
      <c r="B141" t="s">
        <v>267</v>
      </c>
      <c r="C141" t="s">
        <v>14</v>
      </c>
      <c r="D141" t="s">
        <v>161</v>
      </c>
      <c r="E141" t="s">
        <v>162</v>
      </c>
      <c r="F141" s="1"/>
      <c r="L141" s="1">
        <v>5000</v>
      </c>
      <c r="M141" s="1">
        <v>5000</v>
      </c>
      <c r="N141" s="1"/>
      <c r="O141" s="1">
        <v>0</v>
      </c>
      <c r="P141" s="1"/>
      <c r="Q141" s="1"/>
      <c r="R141" s="1">
        <v>0</v>
      </c>
      <c r="T141" s="1">
        <v>1000</v>
      </c>
      <c r="Y141" s="1"/>
      <c r="AA141" s="1"/>
    </row>
    <row r="142" spans="1:27" x14ac:dyDescent="0.4">
      <c r="A142" s="4">
        <v>300</v>
      </c>
      <c r="B142" t="s">
        <v>267</v>
      </c>
      <c r="C142" t="s">
        <v>14</v>
      </c>
      <c r="D142" s="4">
        <v>11210</v>
      </c>
      <c r="E142" t="s">
        <v>270</v>
      </c>
      <c r="L142" s="1"/>
      <c r="M142" s="1"/>
      <c r="N142" s="1"/>
      <c r="O142" s="1"/>
      <c r="P142" s="1"/>
      <c r="Q142" s="1"/>
      <c r="R142" s="1"/>
      <c r="T142" s="1">
        <v>3500</v>
      </c>
      <c r="U142" s="49">
        <v>5000</v>
      </c>
      <c r="V142" s="49">
        <v>9364</v>
      </c>
      <c r="W142" s="1">
        <v>15000</v>
      </c>
      <c r="Y142" s="1"/>
      <c r="AA142" s="1"/>
    </row>
    <row r="143" spans="1:27" x14ac:dyDescent="0.4">
      <c r="A143" t="s">
        <v>266</v>
      </c>
      <c r="B143" t="s">
        <v>267</v>
      </c>
      <c r="C143" t="s">
        <v>14</v>
      </c>
      <c r="D143" t="s">
        <v>164</v>
      </c>
      <c r="E143" t="s">
        <v>165</v>
      </c>
      <c r="L143" s="1">
        <v>0</v>
      </c>
      <c r="M143" s="1">
        <v>20000</v>
      </c>
      <c r="N143" s="1"/>
      <c r="O143" s="1">
        <v>10546</v>
      </c>
      <c r="P143" s="1">
        <v>15751</v>
      </c>
      <c r="Q143" s="1">
        <v>20000</v>
      </c>
      <c r="R143" s="1">
        <v>15000</v>
      </c>
      <c r="S143" s="1">
        <v>20000</v>
      </c>
      <c r="T143" s="1">
        <v>10000</v>
      </c>
      <c r="U143" s="1">
        <v>10000</v>
      </c>
      <c r="V143" s="1">
        <v>-2070</v>
      </c>
      <c r="Y143" s="1"/>
      <c r="AA143" s="1"/>
    </row>
    <row r="144" spans="1:27" x14ac:dyDescent="0.4">
      <c r="A144" s="4">
        <v>300</v>
      </c>
      <c r="B144" t="s">
        <v>267</v>
      </c>
      <c r="C144" t="s">
        <v>14</v>
      </c>
      <c r="D144" s="4">
        <v>11310</v>
      </c>
      <c r="E144" t="s">
        <v>166</v>
      </c>
      <c r="L144" s="1"/>
      <c r="M144" s="1"/>
      <c r="N144" s="1"/>
      <c r="O144" s="1"/>
      <c r="P144" s="1"/>
      <c r="Q144" s="1"/>
      <c r="R144" s="1"/>
      <c r="S144" s="1"/>
      <c r="T144" s="1">
        <v>100</v>
      </c>
      <c r="U144" s="1"/>
      <c r="V144" s="1">
        <v>50</v>
      </c>
      <c r="W144">
        <v>100</v>
      </c>
      <c r="Y144" s="1"/>
      <c r="AA144" s="1"/>
    </row>
    <row r="145" spans="1:27" x14ac:dyDescent="0.4">
      <c r="A145" t="s">
        <v>266</v>
      </c>
      <c r="B145" t="s">
        <v>267</v>
      </c>
      <c r="C145" t="s">
        <v>14</v>
      </c>
      <c r="D145" t="s">
        <v>167</v>
      </c>
      <c r="E145" t="s">
        <v>168</v>
      </c>
      <c r="L145" s="1">
        <v>0</v>
      </c>
      <c r="M145" s="1">
        <v>12000</v>
      </c>
      <c r="N145" s="1"/>
      <c r="O145" s="1">
        <v>11117</v>
      </c>
      <c r="P145" s="1">
        <v>10532.32</v>
      </c>
      <c r="Q145" s="1">
        <v>15000</v>
      </c>
      <c r="R145" s="1">
        <v>0</v>
      </c>
      <c r="T145" s="1">
        <v>15000</v>
      </c>
      <c r="U145" s="1">
        <v>0</v>
      </c>
      <c r="V145" s="1"/>
      <c r="Y145" s="1"/>
      <c r="AA145" s="1"/>
    </row>
    <row r="146" spans="1:27" x14ac:dyDescent="0.4">
      <c r="A146" t="s">
        <v>266</v>
      </c>
      <c r="B146" t="s">
        <v>267</v>
      </c>
      <c r="C146" t="s">
        <v>14</v>
      </c>
      <c r="D146" t="s">
        <v>169</v>
      </c>
      <c r="E146" t="s">
        <v>170</v>
      </c>
      <c r="L146" s="1">
        <v>0</v>
      </c>
      <c r="M146" s="1">
        <v>15000</v>
      </c>
      <c r="N146" s="1"/>
      <c r="O146" s="1">
        <v>26195</v>
      </c>
      <c r="P146" s="1">
        <v>72518</v>
      </c>
      <c r="Q146" s="1">
        <v>30000</v>
      </c>
      <c r="R146" s="1">
        <v>15000</v>
      </c>
      <c r="S146" s="1">
        <v>15000</v>
      </c>
      <c r="T146" s="1">
        <v>30000</v>
      </c>
      <c r="U146" s="1">
        <v>30000</v>
      </c>
      <c r="V146" s="1">
        <v>16200</v>
      </c>
      <c r="W146" s="1">
        <v>25000</v>
      </c>
      <c r="Y146" s="1"/>
      <c r="AA146" s="1"/>
    </row>
    <row r="147" spans="1:27" x14ac:dyDescent="0.4">
      <c r="A147" t="s">
        <v>266</v>
      </c>
      <c r="B147" t="s">
        <v>267</v>
      </c>
      <c r="C147" t="s">
        <v>14</v>
      </c>
      <c r="D147" t="s">
        <v>171</v>
      </c>
      <c r="E147" t="s">
        <v>172</v>
      </c>
      <c r="L147" s="1">
        <v>25000</v>
      </c>
      <c r="M147" s="1">
        <v>25000</v>
      </c>
      <c r="N147" s="1"/>
      <c r="O147" s="1">
        <v>15271</v>
      </c>
      <c r="P147" s="1">
        <v>29066</v>
      </c>
      <c r="Q147" s="1">
        <v>15000</v>
      </c>
      <c r="R147" s="1">
        <v>15000</v>
      </c>
      <c r="S147" s="1">
        <v>15000</v>
      </c>
      <c r="T147" s="1"/>
      <c r="U147" s="1">
        <v>30000</v>
      </c>
      <c r="V147" s="1">
        <v>11965</v>
      </c>
      <c r="W147" s="1">
        <v>20000</v>
      </c>
      <c r="Y147" s="1"/>
      <c r="AA147" s="1"/>
    </row>
    <row r="148" spans="1:27" x14ac:dyDescent="0.4">
      <c r="A148" s="4">
        <v>300</v>
      </c>
      <c r="B148" t="s">
        <v>267</v>
      </c>
      <c r="C148" t="s">
        <v>14</v>
      </c>
      <c r="D148" s="4">
        <v>11650</v>
      </c>
      <c r="E148" t="s">
        <v>271</v>
      </c>
      <c r="L148" s="1"/>
      <c r="M148" s="1"/>
      <c r="N148" s="1"/>
      <c r="O148" s="1"/>
      <c r="P148" s="1">
        <v>20472</v>
      </c>
      <c r="Q148" s="1">
        <v>10000</v>
      </c>
      <c r="R148" s="1"/>
      <c r="U148" s="1">
        <v>0</v>
      </c>
      <c r="V148" s="1"/>
      <c r="Y148" s="1"/>
      <c r="AA148" s="1"/>
    </row>
    <row r="149" spans="1:27" x14ac:dyDescent="0.4">
      <c r="A149" t="s">
        <v>266</v>
      </c>
      <c r="B149" t="s">
        <v>267</v>
      </c>
      <c r="C149" t="s">
        <v>14</v>
      </c>
      <c r="D149" t="s">
        <v>174</v>
      </c>
      <c r="E149" t="s">
        <v>175</v>
      </c>
      <c r="L149" s="1">
        <v>0</v>
      </c>
      <c r="M149" s="1">
        <v>1000</v>
      </c>
      <c r="N149" s="1"/>
      <c r="O149" s="1">
        <v>1341</v>
      </c>
      <c r="P149" s="1">
        <v>1991</v>
      </c>
      <c r="Q149" s="1"/>
      <c r="R149" s="1">
        <v>1000</v>
      </c>
      <c r="T149" s="1">
        <v>1000</v>
      </c>
      <c r="U149">
        <v>0</v>
      </c>
      <c r="V149" s="1">
        <v>1301</v>
      </c>
      <c r="W149">
        <v>2000</v>
      </c>
      <c r="Y149" s="1"/>
      <c r="AA149" s="1"/>
    </row>
    <row r="150" spans="1:27" x14ac:dyDescent="0.4">
      <c r="A150" t="s">
        <v>266</v>
      </c>
      <c r="B150" t="s">
        <v>267</v>
      </c>
      <c r="C150" t="s">
        <v>14</v>
      </c>
      <c r="D150" t="s">
        <v>272</v>
      </c>
      <c r="E150" t="s">
        <v>273</v>
      </c>
      <c r="L150" s="1">
        <v>135000</v>
      </c>
      <c r="M150" s="1">
        <v>135000</v>
      </c>
      <c r="N150" s="1"/>
      <c r="O150" s="1">
        <v>115174</v>
      </c>
      <c r="P150" s="1">
        <v>103460</v>
      </c>
      <c r="Q150" s="1">
        <v>120000</v>
      </c>
      <c r="R150" s="1">
        <v>120000</v>
      </c>
      <c r="S150" s="1">
        <v>120000</v>
      </c>
      <c r="T150" s="1">
        <v>120000</v>
      </c>
      <c r="U150" s="1">
        <v>180000</v>
      </c>
      <c r="V150" s="1">
        <v>97079</v>
      </c>
      <c r="W150" s="1">
        <v>150000</v>
      </c>
      <c r="Y150" s="1"/>
      <c r="AA150" s="1"/>
    </row>
    <row r="151" spans="1:27" x14ac:dyDescent="0.4">
      <c r="A151" t="s">
        <v>266</v>
      </c>
      <c r="B151" t="s">
        <v>267</v>
      </c>
      <c r="C151" t="s">
        <v>14</v>
      </c>
      <c r="D151" t="s">
        <v>235</v>
      </c>
      <c r="E151" t="s">
        <v>236</v>
      </c>
      <c r="L151" s="1">
        <v>180000</v>
      </c>
      <c r="M151" s="1">
        <v>100000</v>
      </c>
      <c r="N151" s="1"/>
      <c r="O151" s="1">
        <v>128909</v>
      </c>
      <c r="P151" s="1">
        <v>103631</v>
      </c>
      <c r="Q151" s="1">
        <v>140000</v>
      </c>
      <c r="R151" s="1">
        <v>140000</v>
      </c>
      <c r="S151" s="1">
        <v>150000</v>
      </c>
      <c r="T151" s="1">
        <v>220000</v>
      </c>
      <c r="U151" s="1">
        <v>250000</v>
      </c>
      <c r="V151" s="1">
        <v>160624</v>
      </c>
      <c r="W151" s="1">
        <v>220000</v>
      </c>
      <c r="Y151" s="1"/>
      <c r="AA151" s="1"/>
    </row>
    <row r="152" spans="1:27" x14ac:dyDescent="0.4">
      <c r="A152" t="s">
        <v>266</v>
      </c>
      <c r="B152" t="s">
        <v>267</v>
      </c>
      <c r="C152" t="s">
        <v>14</v>
      </c>
      <c r="D152" t="s">
        <v>176</v>
      </c>
      <c r="E152" t="s">
        <v>177</v>
      </c>
      <c r="L152" s="1">
        <v>108000</v>
      </c>
      <c r="M152" s="1">
        <v>108000</v>
      </c>
      <c r="N152" s="1"/>
      <c r="O152" s="1">
        <v>58662</v>
      </c>
      <c r="P152" s="1">
        <v>56443</v>
      </c>
      <c r="Q152" s="1">
        <v>60000</v>
      </c>
      <c r="R152" s="1">
        <v>70000</v>
      </c>
      <c r="S152" s="1">
        <v>70000</v>
      </c>
      <c r="T152" s="1">
        <v>60000</v>
      </c>
      <c r="U152" s="1">
        <v>60000</v>
      </c>
      <c r="V152" s="1">
        <v>42711</v>
      </c>
      <c r="W152" s="1">
        <v>50000</v>
      </c>
      <c r="Y152" s="1"/>
      <c r="AA152" s="1"/>
    </row>
    <row r="153" spans="1:27" x14ac:dyDescent="0.4">
      <c r="A153" t="s">
        <v>266</v>
      </c>
      <c r="B153" t="s">
        <v>267</v>
      </c>
      <c r="C153" t="s">
        <v>14</v>
      </c>
      <c r="D153" t="s">
        <v>178</v>
      </c>
      <c r="E153" t="s">
        <v>179</v>
      </c>
      <c r="L153" s="1">
        <v>135000</v>
      </c>
      <c r="M153" s="1">
        <v>135000</v>
      </c>
      <c r="N153" s="1"/>
      <c r="O153" s="1">
        <v>115685</v>
      </c>
      <c r="P153" s="1">
        <v>63125</v>
      </c>
      <c r="Q153" s="1">
        <v>100000</v>
      </c>
      <c r="R153" s="1">
        <v>130000</v>
      </c>
      <c r="S153" s="1">
        <v>100000</v>
      </c>
      <c r="T153" s="1">
        <v>160000</v>
      </c>
      <c r="U153" s="1">
        <v>210000</v>
      </c>
      <c r="V153" s="1">
        <v>66464</v>
      </c>
      <c r="W153" s="1">
        <v>100000</v>
      </c>
      <c r="Y153" s="1"/>
      <c r="AA153" s="1"/>
    </row>
    <row r="154" spans="1:27" x14ac:dyDescent="0.4">
      <c r="A154" t="s">
        <v>266</v>
      </c>
      <c r="B154" t="s">
        <v>267</v>
      </c>
      <c r="C154" t="s">
        <v>14</v>
      </c>
      <c r="D154" t="s">
        <v>180</v>
      </c>
      <c r="E154" t="s">
        <v>181</v>
      </c>
      <c r="L154" s="1">
        <v>69000</v>
      </c>
      <c r="M154" s="1">
        <v>150000</v>
      </c>
      <c r="N154" s="1"/>
      <c r="O154" s="1">
        <v>148569</v>
      </c>
      <c r="P154" s="1">
        <v>195016</v>
      </c>
      <c r="Q154" s="1">
        <v>200000</v>
      </c>
      <c r="R154" s="1">
        <v>160000</v>
      </c>
      <c r="S154" s="1">
        <v>200000</v>
      </c>
      <c r="T154" s="1">
        <v>200000</v>
      </c>
      <c r="U154" s="1">
        <v>200000</v>
      </c>
      <c r="V154" s="1">
        <v>183404</v>
      </c>
      <c r="W154" s="1">
        <v>250000</v>
      </c>
      <c r="Y154" s="1"/>
      <c r="AA154" s="1"/>
    </row>
    <row r="155" spans="1:27" x14ac:dyDescent="0.4">
      <c r="A155" t="s">
        <v>266</v>
      </c>
      <c r="B155" t="s">
        <v>267</v>
      </c>
      <c r="C155" t="s">
        <v>14</v>
      </c>
      <c r="D155" t="s">
        <v>182</v>
      </c>
      <c r="E155" t="s">
        <v>183</v>
      </c>
      <c r="L155" s="1">
        <v>145000</v>
      </c>
      <c r="M155" s="1">
        <v>145000</v>
      </c>
      <c r="N155" s="1"/>
      <c r="O155" s="1">
        <v>195677</v>
      </c>
      <c r="P155" s="1">
        <v>182862</v>
      </c>
      <c r="Q155" s="1">
        <v>200000</v>
      </c>
      <c r="R155" s="1">
        <v>200000</v>
      </c>
      <c r="S155" s="1">
        <v>150000</v>
      </c>
      <c r="T155" s="1">
        <v>60000</v>
      </c>
      <c r="U155" s="1">
        <v>90000</v>
      </c>
      <c r="V155" s="1">
        <v>101514</v>
      </c>
      <c r="W155" s="1">
        <v>130000</v>
      </c>
      <c r="Y155" s="1"/>
      <c r="AA155" s="1"/>
    </row>
    <row r="156" spans="1:27" x14ac:dyDescent="0.4">
      <c r="A156" t="s">
        <v>266</v>
      </c>
      <c r="B156" t="s">
        <v>267</v>
      </c>
      <c r="C156" t="s">
        <v>14</v>
      </c>
      <c r="D156" t="s">
        <v>184</v>
      </c>
      <c r="E156" t="s">
        <v>185</v>
      </c>
      <c r="L156" s="1">
        <v>95000</v>
      </c>
      <c r="M156" s="1">
        <v>95000</v>
      </c>
      <c r="N156" s="1"/>
      <c r="O156" s="1">
        <v>11000</v>
      </c>
      <c r="P156" s="1"/>
      <c r="Q156" s="1">
        <v>0</v>
      </c>
      <c r="R156" s="1">
        <v>10000</v>
      </c>
      <c r="Y156" s="1"/>
      <c r="AA156" s="1"/>
    </row>
    <row r="157" spans="1:27" x14ac:dyDescent="0.4">
      <c r="A157" t="s">
        <v>266</v>
      </c>
      <c r="B157" t="s">
        <v>267</v>
      </c>
      <c r="C157" t="s">
        <v>14</v>
      </c>
      <c r="D157" t="s">
        <v>186</v>
      </c>
      <c r="E157" t="s">
        <v>187</v>
      </c>
      <c r="L157" s="1">
        <v>250000</v>
      </c>
      <c r="M157" s="1">
        <v>250000</v>
      </c>
      <c r="N157" s="1"/>
      <c r="O157" s="1">
        <v>21899</v>
      </c>
      <c r="P157" s="1">
        <v>43217</v>
      </c>
      <c r="Q157" s="1">
        <v>40000</v>
      </c>
      <c r="R157" s="1">
        <v>20000</v>
      </c>
      <c r="S157" s="1">
        <v>50000</v>
      </c>
      <c r="T157" s="1">
        <v>50000</v>
      </c>
      <c r="U157" s="1">
        <v>85000</v>
      </c>
      <c r="V157" s="1">
        <v>50388</v>
      </c>
      <c r="W157" s="1">
        <v>80000</v>
      </c>
      <c r="Y157" s="1"/>
      <c r="AA157" s="1"/>
    </row>
    <row r="158" spans="1:27" x14ac:dyDescent="0.4">
      <c r="A158" t="s">
        <v>266</v>
      </c>
      <c r="B158" t="s">
        <v>267</v>
      </c>
      <c r="C158" t="s">
        <v>14</v>
      </c>
      <c r="D158" t="s">
        <v>240</v>
      </c>
      <c r="E158" t="s">
        <v>241</v>
      </c>
      <c r="L158" s="1">
        <v>395000</v>
      </c>
      <c r="M158" s="1">
        <v>300000</v>
      </c>
      <c r="N158" s="1"/>
      <c r="O158" s="1">
        <v>137270</v>
      </c>
      <c r="P158" s="1"/>
      <c r="Q158" s="1"/>
      <c r="R158" s="1">
        <v>200000</v>
      </c>
      <c r="Y158" s="1"/>
      <c r="AA158" s="1"/>
    </row>
    <row r="159" spans="1:27" x14ac:dyDescent="0.4">
      <c r="A159" t="s">
        <v>266</v>
      </c>
      <c r="B159" t="s">
        <v>267</v>
      </c>
      <c r="C159" t="s">
        <v>14</v>
      </c>
      <c r="D159" t="s">
        <v>188</v>
      </c>
      <c r="E159" t="s">
        <v>189</v>
      </c>
      <c r="L159" s="1">
        <v>50000</v>
      </c>
      <c r="M159" s="1">
        <v>150000</v>
      </c>
      <c r="N159" s="1"/>
      <c r="O159" s="1">
        <v>228257</v>
      </c>
      <c r="P159" s="1">
        <v>376321</v>
      </c>
      <c r="Q159" s="1">
        <v>420000</v>
      </c>
      <c r="R159" s="1">
        <v>250000</v>
      </c>
      <c r="S159" s="1">
        <v>361000</v>
      </c>
      <c r="T159" s="1">
        <v>500000</v>
      </c>
      <c r="U159" s="1">
        <v>350000</v>
      </c>
      <c r="V159" s="1">
        <v>421134</v>
      </c>
      <c r="W159" s="1">
        <v>500000</v>
      </c>
      <c r="Y159" s="1"/>
      <c r="AA159" s="1"/>
    </row>
    <row r="160" spans="1:27" x14ac:dyDescent="0.4">
      <c r="A160" t="s">
        <v>266</v>
      </c>
      <c r="B160" t="s">
        <v>267</v>
      </c>
      <c r="C160" t="s">
        <v>14</v>
      </c>
      <c r="D160" t="s">
        <v>274</v>
      </c>
      <c r="E160" t="s">
        <v>242</v>
      </c>
      <c r="L160" s="1">
        <v>0</v>
      </c>
      <c r="M160" s="1">
        <v>50000</v>
      </c>
      <c r="N160" s="1"/>
      <c r="O160" s="1">
        <v>99336</v>
      </c>
      <c r="P160" s="1">
        <v>33739</v>
      </c>
      <c r="Q160" s="1">
        <v>100000</v>
      </c>
      <c r="R160" s="1">
        <v>110000</v>
      </c>
      <c r="S160" s="1">
        <v>70000</v>
      </c>
      <c r="T160" s="1">
        <v>70000</v>
      </c>
      <c r="U160" s="1">
        <v>100000</v>
      </c>
      <c r="V160" s="1">
        <v>71274</v>
      </c>
      <c r="W160" s="1">
        <v>100000</v>
      </c>
      <c r="Y160" s="1"/>
      <c r="AA160" s="1"/>
    </row>
    <row r="161" spans="1:27" x14ac:dyDescent="0.4">
      <c r="A161" t="s">
        <v>266</v>
      </c>
      <c r="B161" t="s">
        <v>267</v>
      </c>
      <c r="C161" t="s">
        <v>14</v>
      </c>
      <c r="D161" t="s">
        <v>275</v>
      </c>
      <c r="E161" t="s">
        <v>276</v>
      </c>
      <c r="L161" s="1">
        <v>0</v>
      </c>
      <c r="M161" s="1">
        <v>15000</v>
      </c>
      <c r="N161" s="1"/>
      <c r="O161" s="1">
        <v>34984</v>
      </c>
      <c r="P161" s="1">
        <v>9159</v>
      </c>
      <c r="Q161" s="1">
        <v>40000</v>
      </c>
      <c r="R161" s="1">
        <v>40000</v>
      </c>
      <c r="S161" s="1">
        <v>80000</v>
      </c>
      <c r="T161" s="1">
        <v>80000</v>
      </c>
      <c r="U161" s="1">
        <v>45000</v>
      </c>
      <c r="V161" s="1">
        <v>18199</v>
      </c>
      <c r="W161" s="1">
        <v>45000</v>
      </c>
      <c r="Y161" s="1"/>
      <c r="AA161" s="1"/>
    </row>
    <row r="162" spans="1:27" x14ac:dyDescent="0.4">
      <c r="A162" t="s">
        <v>266</v>
      </c>
      <c r="B162" t="s">
        <v>267</v>
      </c>
      <c r="C162" t="s">
        <v>14</v>
      </c>
      <c r="D162" t="s">
        <v>243</v>
      </c>
      <c r="E162" t="s">
        <v>244</v>
      </c>
      <c r="L162" s="1">
        <v>230000</v>
      </c>
      <c r="M162" s="1">
        <v>200000</v>
      </c>
      <c r="N162" s="1"/>
      <c r="O162" s="1">
        <v>142088</v>
      </c>
      <c r="P162" s="1">
        <v>186362</v>
      </c>
      <c r="Q162" s="1">
        <v>300000</v>
      </c>
      <c r="R162" s="1">
        <v>160000</v>
      </c>
      <c r="S162" s="1">
        <v>210000</v>
      </c>
      <c r="T162" s="1">
        <v>210000</v>
      </c>
      <c r="U162" s="1">
        <v>250000</v>
      </c>
      <c r="V162" s="1">
        <v>188968</v>
      </c>
      <c r="W162" s="1">
        <v>250000</v>
      </c>
      <c r="Y162" s="1"/>
      <c r="AA162" s="1"/>
    </row>
    <row r="163" spans="1:27" x14ac:dyDescent="0.4">
      <c r="A163" t="s">
        <v>266</v>
      </c>
      <c r="B163" t="s">
        <v>267</v>
      </c>
      <c r="C163" t="s">
        <v>14</v>
      </c>
      <c r="D163" t="s">
        <v>245</v>
      </c>
      <c r="E163" t="s">
        <v>246</v>
      </c>
      <c r="L163" s="1">
        <v>6000</v>
      </c>
      <c r="M163" s="1">
        <v>6000</v>
      </c>
      <c r="N163" s="1"/>
      <c r="O163" s="1">
        <v>5717</v>
      </c>
      <c r="P163" s="1">
        <v>35190</v>
      </c>
      <c r="Q163" s="1">
        <v>50000</v>
      </c>
      <c r="R163" s="1">
        <v>8000</v>
      </c>
      <c r="S163" s="1">
        <v>40000</v>
      </c>
      <c r="T163" s="1">
        <v>35000</v>
      </c>
      <c r="U163" s="1">
        <v>45000</v>
      </c>
      <c r="V163" s="1">
        <v>12124</v>
      </c>
      <c r="W163" s="1">
        <v>30000</v>
      </c>
      <c r="Y163" s="1"/>
      <c r="AA163" s="1"/>
    </row>
    <row r="164" spans="1:27" x14ac:dyDescent="0.4">
      <c r="A164" t="s">
        <v>266</v>
      </c>
      <c r="B164" t="s">
        <v>267</v>
      </c>
      <c r="C164" t="s">
        <v>14</v>
      </c>
      <c r="D164" t="s">
        <v>190</v>
      </c>
      <c r="E164" t="s">
        <v>247</v>
      </c>
      <c r="L164" s="1">
        <v>0</v>
      </c>
      <c r="M164" s="1">
        <v>1000</v>
      </c>
      <c r="N164" s="1"/>
      <c r="O164" s="1">
        <v>4853</v>
      </c>
      <c r="P164" s="1"/>
      <c r="Q164" s="1">
        <v>10000</v>
      </c>
      <c r="R164" s="1">
        <v>10000</v>
      </c>
      <c r="S164" s="1"/>
      <c r="T164" s="1"/>
      <c r="Y164" s="1"/>
      <c r="AA164" s="1"/>
    </row>
    <row r="165" spans="1:27" x14ac:dyDescent="0.4">
      <c r="A165" t="s">
        <v>266</v>
      </c>
      <c r="B165" t="s">
        <v>267</v>
      </c>
      <c r="C165" t="s">
        <v>14</v>
      </c>
      <c r="D165" s="4">
        <v>13300</v>
      </c>
      <c r="E165" t="s">
        <v>248</v>
      </c>
      <c r="L165" s="1">
        <v>523000</v>
      </c>
      <c r="M165" s="1">
        <v>523000</v>
      </c>
      <c r="N165" s="1"/>
      <c r="O165" s="1">
        <v>2012709</v>
      </c>
      <c r="P165" s="1"/>
      <c r="Q165" s="1">
        <v>1200000</v>
      </c>
      <c r="R165" s="1">
        <v>1200000</v>
      </c>
      <c r="S165" s="1">
        <v>1550000</v>
      </c>
      <c r="T165" s="1">
        <v>1550000</v>
      </c>
      <c r="U165" s="1">
        <v>2150000</v>
      </c>
      <c r="V165" s="1">
        <v>1584687</v>
      </c>
      <c r="W165" s="1">
        <v>2085000</v>
      </c>
      <c r="Y165" s="1"/>
      <c r="AA165" s="1"/>
    </row>
    <row r="166" spans="1:27" x14ac:dyDescent="0.4">
      <c r="A166" t="s">
        <v>266</v>
      </c>
      <c r="B166" t="s">
        <v>267</v>
      </c>
      <c r="C166" t="s">
        <v>14</v>
      </c>
      <c r="D166" t="s">
        <v>195</v>
      </c>
      <c r="E166" t="s">
        <v>11</v>
      </c>
      <c r="L166" s="1">
        <v>430000</v>
      </c>
      <c r="M166" s="1">
        <v>430000</v>
      </c>
      <c r="N166" s="1"/>
      <c r="O166" s="1">
        <v>375190</v>
      </c>
      <c r="P166" s="1">
        <v>360172</v>
      </c>
      <c r="Q166" s="1">
        <v>400000</v>
      </c>
      <c r="R166" s="1">
        <v>400000</v>
      </c>
      <c r="S166" s="1">
        <v>500000</v>
      </c>
      <c r="T166" s="1">
        <v>500000</v>
      </c>
      <c r="U166" s="1">
        <v>450000</v>
      </c>
      <c r="V166" s="1">
        <v>348761</v>
      </c>
      <c r="W166" s="1">
        <v>500000</v>
      </c>
      <c r="Y166" s="1"/>
      <c r="AA166" s="1"/>
    </row>
    <row r="167" spans="1:27" x14ac:dyDescent="0.4">
      <c r="A167" t="s">
        <v>266</v>
      </c>
      <c r="B167" t="s">
        <v>267</v>
      </c>
      <c r="C167" t="s">
        <v>14</v>
      </c>
      <c r="D167" t="s">
        <v>277</v>
      </c>
      <c r="E167" t="s">
        <v>278</v>
      </c>
      <c r="L167" s="1">
        <v>0</v>
      </c>
      <c r="M167" s="1">
        <v>5000</v>
      </c>
      <c r="N167" s="1"/>
      <c r="O167" s="1">
        <v>4118</v>
      </c>
      <c r="P167" s="1"/>
      <c r="Q167" s="1"/>
      <c r="R167" s="1">
        <v>0</v>
      </c>
      <c r="Y167" s="1"/>
      <c r="AA167" s="1"/>
    </row>
    <row r="168" spans="1:27" x14ac:dyDescent="0.4">
      <c r="A168" t="s">
        <v>266</v>
      </c>
      <c r="B168" t="s">
        <v>267</v>
      </c>
      <c r="C168" t="s">
        <v>14</v>
      </c>
      <c r="D168" t="s">
        <v>279</v>
      </c>
      <c r="E168" t="s">
        <v>280</v>
      </c>
      <c r="L168" s="1">
        <v>0</v>
      </c>
      <c r="M168" s="1">
        <v>333000</v>
      </c>
      <c r="N168" s="1"/>
      <c r="O168" s="1">
        <v>333430</v>
      </c>
      <c r="P168" s="1"/>
      <c r="Q168" s="1"/>
      <c r="R168" s="1">
        <v>0</v>
      </c>
      <c r="Y168" s="1"/>
      <c r="AA168" s="1"/>
    </row>
    <row r="169" spans="1:27" x14ac:dyDescent="0.4">
      <c r="A169" t="s">
        <v>266</v>
      </c>
      <c r="B169" t="s">
        <v>267</v>
      </c>
      <c r="C169" t="s">
        <v>14</v>
      </c>
      <c r="D169" t="s">
        <v>281</v>
      </c>
      <c r="E169" t="s">
        <v>282</v>
      </c>
      <c r="L169" s="1">
        <v>0</v>
      </c>
      <c r="M169" s="1">
        <v>0</v>
      </c>
      <c r="N169" s="1"/>
      <c r="O169" s="1"/>
      <c r="P169" s="1"/>
      <c r="Q169" s="1"/>
      <c r="Y169" s="1"/>
      <c r="AA169" s="1"/>
    </row>
    <row r="170" spans="1:27" x14ac:dyDescent="0.4">
      <c r="A170" t="s">
        <v>266</v>
      </c>
      <c r="B170" t="s">
        <v>267</v>
      </c>
      <c r="C170" t="s">
        <v>14</v>
      </c>
      <c r="D170" t="s">
        <v>283</v>
      </c>
      <c r="E170" t="s">
        <v>284</v>
      </c>
      <c r="L170" s="1">
        <v>0</v>
      </c>
      <c r="M170" s="1">
        <v>274000</v>
      </c>
      <c r="N170" s="1"/>
      <c r="O170" s="1">
        <v>0</v>
      </c>
      <c r="P170" s="1"/>
      <c r="Q170" s="1"/>
      <c r="R170" s="1"/>
      <c r="Y170" s="1"/>
      <c r="AA170" s="1"/>
    </row>
    <row r="171" spans="1:27" x14ac:dyDescent="0.4">
      <c r="A171" t="s">
        <v>266</v>
      </c>
      <c r="B171" t="s">
        <v>267</v>
      </c>
      <c r="C171" t="s">
        <v>14</v>
      </c>
      <c r="D171" t="s">
        <v>199</v>
      </c>
      <c r="E171" t="s">
        <v>35</v>
      </c>
      <c r="L171" s="1">
        <v>900000</v>
      </c>
      <c r="M171" s="1">
        <v>900000</v>
      </c>
      <c r="N171" s="1"/>
      <c r="O171" s="1">
        <v>929327</v>
      </c>
      <c r="P171" s="1"/>
      <c r="Q171" s="1">
        <v>900000</v>
      </c>
      <c r="R171" s="1">
        <v>900000</v>
      </c>
      <c r="S171" s="1">
        <v>1000000</v>
      </c>
      <c r="T171" s="1">
        <v>1000000</v>
      </c>
      <c r="U171" s="1">
        <v>1000000</v>
      </c>
      <c r="V171" s="1"/>
      <c r="W171" s="1">
        <v>1000000</v>
      </c>
      <c r="Y171" s="1"/>
      <c r="AA171" s="1"/>
    </row>
    <row r="172" spans="1:27" x14ac:dyDescent="0.4">
      <c r="A172" s="6">
        <v>300</v>
      </c>
      <c r="B172" s="2" t="s">
        <v>14</v>
      </c>
      <c r="C172" s="2"/>
      <c r="D172" s="2"/>
      <c r="E172" s="2"/>
      <c r="F172" s="2"/>
      <c r="G172" s="2"/>
      <c r="H172" s="2"/>
      <c r="I172" s="2"/>
      <c r="J172" s="2"/>
      <c r="K172" s="2"/>
      <c r="L172" s="3">
        <f>SUM(L127:L171)</f>
        <v>8516000</v>
      </c>
      <c r="M172" s="3">
        <f>SUM(M127:M171)</f>
        <v>10014000</v>
      </c>
      <c r="N172" s="3"/>
      <c r="O172" s="3">
        <f t="shared" ref="O172:W172" si="4">SUM(O127:O171)</f>
        <v>10485300</v>
      </c>
      <c r="P172" s="3">
        <f t="shared" si="4"/>
        <v>7323073.3200000003</v>
      </c>
      <c r="Q172" s="3">
        <f t="shared" si="4"/>
        <v>10872000</v>
      </c>
      <c r="R172" s="3">
        <f t="shared" si="4"/>
        <v>10689000</v>
      </c>
      <c r="S172" s="3">
        <f t="shared" si="4"/>
        <v>11302000</v>
      </c>
      <c r="T172" s="3">
        <f t="shared" si="4"/>
        <v>11247600</v>
      </c>
      <c r="U172" s="3">
        <f t="shared" si="4"/>
        <v>13227650</v>
      </c>
      <c r="V172" s="3">
        <f t="shared" si="4"/>
        <v>7706493</v>
      </c>
      <c r="W172" s="3">
        <f t="shared" si="4"/>
        <v>12607750</v>
      </c>
    </row>
    <row r="173" spans="1:27" x14ac:dyDescent="0.4">
      <c r="L173" s="1"/>
      <c r="M173" s="1"/>
      <c r="N173" s="1"/>
      <c r="O173" s="1"/>
      <c r="P173" s="1"/>
      <c r="Q173" s="1"/>
      <c r="R173" s="1"/>
    </row>
    <row r="174" spans="1:27" x14ac:dyDescent="0.4">
      <c r="L174" s="1"/>
      <c r="M174" s="1"/>
      <c r="N174" s="1"/>
      <c r="O174" s="1"/>
      <c r="P174" s="1"/>
      <c r="Q174" s="1"/>
      <c r="R174" s="1"/>
    </row>
    <row r="175" spans="1:27" x14ac:dyDescent="0.4">
      <c r="A175" t="s">
        <v>266</v>
      </c>
      <c r="B175" t="s">
        <v>267</v>
      </c>
      <c r="C175" t="s">
        <v>26</v>
      </c>
      <c r="D175" t="s">
        <v>253</v>
      </c>
      <c r="E175" t="s">
        <v>254</v>
      </c>
      <c r="L175" s="1">
        <v>-175000</v>
      </c>
      <c r="M175" s="1">
        <v>-85000</v>
      </c>
      <c r="N175" s="1"/>
      <c r="O175" s="1">
        <v>0</v>
      </c>
      <c r="P175" s="1">
        <v>-2000</v>
      </c>
      <c r="Q175" s="1"/>
    </row>
    <row r="176" spans="1:27" x14ac:dyDescent="0.4">
      <c r="A176" t="s">
        <v>266</v>
      </c>
      <c r="B176" t="s">
        <v>267</v>
      </c>
      <c r="C176" t="s">
        <v>26</v>
      </c>
      <c r="D176" t="s">
        <v>200</v>
      </c>
      <c r="E176" t="s">
        <v>201</v>
      </c>
      <c r="L176" s="1">
        <v>0</v>
      </c>
      <c r="M176" s="1">
        <v>0</v>
      </c>
      <c r="N176" s="1"/>
      <c r="O176" s="1">
        <v>-939</v>
      </c>
      <c r="P176" s="1"/>
      <c r="Q176" s="1"/>
    </row>
    <row r="177" spans="1:23" x14ac:dyDescent="0.4">
      <c r="A177" t="s">
        <v>266</v>
      </c>
      <c r="B177" t="s">
        <v>267</v>
      </c>
      <c r="C177" t="s">
        <v>26</v>
      </c>
      <c r="D177" t="s">
        <v>257</v>
      </c>
      <c r="E177" t="s">
        <v>285</v>
      </c>
      <c r="L177" s="1">
        <v>-2100000</v>
      </c>
      <c r="M177" s="1">
        <v>-3000000</v>
      </c>
      <c r="N177" s="1"/>
      <c r="O177" s="1">
        <v>-3404300</v>
      </c>
      <c r="P177" s="1">
        <v>-2616550</v>
      </c>
      <c r="Q177" s="1">
        <v>-3100000</v>
      </c>
      <c r="R177" s="1">
        <v>-3100000</v>
      </c>
      <c r="S177" s="1">
        <v>-3200000</v>
      </c>
      <c r="T177" s="1">
        <v>-3200000</v>
      </c>
      <c r="U177" s="1">
        <v>-3300000</v>
      </c>
      <c r="V177" s="1">
        <v>-2007000</v>
      </c>
      <c r="W177" s="1">
        <v>-3050000</v>
      </c>
    </row>
    <row r="178" spans="1:23" x14ac:dyDescent="0.4">
      <c r="A178" t="s">
        <v>266</v>
      </c>
      <c r="B178" t="s">
        <v>267</v>
      </c>
      <c r="C178" t="s">
        <v>26</v>
      </c>
      <c r="D178" t="s">
        <v>286</v>
      </c>
      <c r="E178" t="s">
        <v>287</v>
      </c>
      <c r="L178" s="1">
        <v>-100000</v>
      </c>
      <c r="M178" s="1">
        <v>-10000</v>
      </c>
      <c r="N178" s="1"/>
      <c r="O178" s="1">
        <v>-205520</v>
      </c>
      <c r="P178" s="1">
        <v>-243840</v>
      </c>
      <c r="Q178" s="1">
        <v>-200000</v>
      </c>
      <c r="R178" s="1">
        <v>-200000</v>
      </c>
      <c r="S178" s="1">
        <v>-270000</v>
      </c>
      <c r="T178" s="1">
        <v>-270000</v>
      </c>
      <c r="U178" s="1">
        <v>-300000</v>
      </c>
      <c r="V178" s="1">
        <v>-217280</v>
      </c>
      <c r="W178" s="1">
        <v>-320000</v>
      </c>
    </row>
    <row r="179" spans="1:23" x14ac:dyDescent="0.4">
      <c r="A179" t="s">
        <v>266</v>
      </c>
      <c r="B179" t="s">
        <v>267</v>
      </c>
      <c r="C179" t="s">
        <v>26</v>
      </c>
      <c r="D179" t="s">
        <v>288</v>
      </c>
      <c r="E179" t="s">
        <v>289</v>
      </c>
      <c r="L179" s="1">
        <v>0</v>
      </c>
      <c r="M179" s="1">
        <v>0</v>
      </c>
      <c r="N179" s="1"/>
      <c r="O179" s="1">
        <v>-632940</v>
      </c>
      <c r="P179" s="1">
        <v>-663685</v>
      </c>
      <c r="Q179" s="1">
        <v>-700000</v>
      </c>
      <c r="R179" s="1">
        <v>-700000</v>
      </c>
      <c r="S179" s="1">
        <v>-740000</v>
      </c>
      <c r="T179" s="1">
        <v>-675000</v>
      </c>
      <c r="U179" s="1">
        <v>-1400000</v>
      </c>
      <c r="V179" s="1">
        <v>-1014720</v>
      </c>
      <c r="W179" s="1">
        <v>-1016000</v>
      </c>
    </row>
    <row r="180" spans="1:23" x14ac:dyDescent="0.4">
      <c r="A180" t="s">
        <v>266</v>
      </c>
      <c r="B180" t="s">
        <v>267</v>
      </c>
      <c r="C180" t="s">
        <v>26</v>
      </c>
      <c r="D180" t="s">
        <v>290</v>
      </c>
      <c r="E180" t="s">
        <v>291</v>
      </c>
      <c r="L180" s="1">
        <v>0</v>
      </c>
      <c r="M180" s="1">
        <v>0</v>
      </c>
      <c r="N180" s="1"/>
      <c r="O180" s="1">
        <v>-115500</v>
      </c>
      <c r="P180" s="1">
        <v>-99238</v>
      </c>
      <c r="Q180" s="1">
        <v>-110000</v>
      </c>
      <c r="R180" s="1">
        <v>-120000</v>
      </c>
      <c r="S180" s="1">
        <v>-100000</v>
      </c>
      <c r="T180" s="1">
        <v>-100000</v>
      </c>
      <c r="U180" s="1">
        <v>-100000</v>
      </c>
      <c r="V180" s="1">
        <v>-104114</v>
      </c>
      <c r="W180" s="1">
        <v>-105000</v>
      </c>
    </row>
    <row r="181" spans="1:23" x14ac:dyDescent="0.4">
      <c r="A181" t="s">
        <v>266</v>
      </c>
      <c r="B181" t="s">
        <v>267</v>
      </c>
      <c r="C181" t="s">
        <v>26</v>
      </c>
      <c r="D181" t="s">
        <v>202</v>
      </c>
      <c r="E181" t="s">
        <v>292</v>
      </c>
      <c r="L181" s="1">
        <v>0</v>
      </c>
      <c r="M181" s="1">
        <v>-665000</v>
      </c>
      <c r="N181" s="1"/>
      <c r="O181" s="1">
        <v>-407129</v>
      </c>
      <c r="P181" s="1">
        <v>-864582</v>
      </c>
      <c r="Q181" s="1">
        <v>-900000</v>
      </c>
      <c r="R181" s="1">
        <v>-400000</v>
      </c>
      <c r="S181" s="1">
        <v>-1000000</v>
      </c>
      <c r="T181" s="1">
        <v>-1000000</v>
      </c>
      <c r="U181" s="28">
        <v>-450000</v>
      </c>
      <c r="V181" s="28">
        <v>-224039</v>
      </c>
      <c r="W181" s="1">
        <v>-390000</v>
      </c>
    </row>
    <row r="182" spans="1:23" x14ac:dyDescent="0.4">
      <c r="A182" t="s">
        <v>266</v>
      </c>
      <c r="B182" t="s">
        <v>267</v>
      </c>
      <c r="C182" t="s">
        <v>26</v>
      </c>
      <c r="D182" t="s">
        <v>205</v>
      </c>
      <c r="E182" t="s">
        <v>206</v>
      </c>
      <c r="L182" s="1">
        <v>0</v>
      </c>
      <c r="M182" s="1">
        <v>-112000</v>
      </c>
      <c r="N182" s="1"/>
      <c r="O182" s="1">
        <v>-128554</v>
      </c>
      <c r="P182" s="1">
        <v>-11</v>
      </c>
      <c r="Q182" s="1"/>
      <c r="T182" s="1">
        <v>-150000</v>
      </c>
      <c r="V182" s="1">
        <v>-142749</v>
      </c>
      <c r="W182" s="1">
        <v>-200000</v>
      </c>
    </row>
    <row r="183" spans="1:23" x14ac:dyDescent="0.4">
      <c r="A183" t="s">
        <v>266</v>
      </c>
      <c r="B183" t="s">
        <v>267</v>
      </c>
      <c r="C183" t="s">
        <v>26</v>
      </c>
      <c r="D183" t="s">
        <v>207</v>
      </c>
      <c r="E183" t="s">
        <v>208</v>
      </c>
      <c r="L183" s="1">
        <v>-430000</v>
      </c>
      <c r="M183" s="1">
        <v>-430000</v>
      </c>
      <c r="N183" s="1"/>
      <c r="O183" s="1">
        <v>-375190</v>
      </c>
      <c r="P183" s="1">
        <v>-360172</v>
      </c>
      <c r="Q183" s="1">
        <v>-400000</v>
      </c>
      <c r="R183" s="1">
        <v>-400000</v>
      </c>
      <c r="S183" s="1">
        <v>-500000</v>
      </c>
      <c r="T183" s="1">
        <v>-500000</v>
      </c>
      <c r="U183" s="1">
        <v>-450000</v>
      </c>
      <c r="V183" s="1">
        <v>-348762</v>
      </c>
      <c r="W183" s="1">
        <v>-500000</v>
      </c>
    </row>
    <row r="184" spans="1:23" x14ac:dyDescent="0.4">
      <c r="A184" t="s">
        <v>266</v>
      </c>
      <c r="B184" t="s">
        <v>267</v>
      </c>
      <c r="C184" t="s">
        <v>26</v>
      </c>
      <c r="D184" t="s">
        <v>211</v>
      </c>
      <c r="E184" t="s">
        <v>212</v>
      </c>
      <c r="L184" s="1">
        <v>0</v>
      </c>
      <c r="M184" s="1">
        <v>-1000</v>
      </c>
      <c r="N184" s="1"/>
      <c r="O184" s="1">
        <v>-4002</v>
      </c>
      <c r="P184" s="1">
        <v>-1649</v>
      </c>
      <c r="Q184" s="1"/>
      <c r="R184" s="1"/>
      <c r="T184" s="1">
        <v>-1700</v>
      </c>
      <c r="V184" s="1">
        <v>-1303</v>
      </c>
      <c r="W184" s="1">
        <v>-1700</v>
      </c>
    </row>
    <row r="185" spans="1:23" x14ac:dyDescent="0.4">
      <c r="A185" t="s">
        <v>266</v>
      </c>
      <c r="B185" t="s">
        <v>267</v>
      </c>
      <c r="C185" t="s">
        <v>26</v>
      </c>
      <c r="D185" t="s">
        <v>218</v>
      </c>
      <c r="E185" t="s">
        <v>219</v>
      </c>
      <c r="L185" s="1">
        <v>-4811000</v>
      </c>
      <c r="M185" s="1">
        <v>-4811000</v>
      </c>
      <c r="N185" s="1"/>
      <c r="O185" s="1">
        <v>-3951000</v>
      </c>
      <c r="P185" s="1">
        <v>-4025000</v>
      </c>
      <c r="Q185" s="1">
        <v>-4025000</v>
      </c>
      <c r="R185" s="1">
        <v>-3825000</v>
      </c>
      <c r="S185" s="1">
        <v>-4224500</v>
      </c>
      <c r="T185" s="1">
        <v>-4224500</v>
      </c>
      <c r="U185" s="40">
        <v>-5431650</v>
      </c>
      <c r="V185" s="40">
        <v>-5455650</v>
      </c>
      <c r="W185" s="1">
        <v>-5455650</v>
      </c>
    </row>
    <row r="186" spans="1:23" x14ac:dyDescent="0.4">
      <c r="A186" t="s">
        <v>266</v>
      </c>
      <c r="B186" t="s">
        <v>267</v>
      </c>
      <c r="C186" t="s">
        <v>26</v>
      </c>
      <c r="D186" t="s">
        <v>221</v>
      </c>
      <c r="E186" t="s">
        <v>264</v>
      </c>
      <c r="L186" s="1">
        <v>0</v>
      </c>
      <c r="M186" s="1">
        <v>0</v>
      </c>
      <c r="N186" s="1"/>
      <c r="O186" s="1"/>
      <c r="P186" s="1"/>
      <c r="Q186" s="1"/>
      <c r="R186" s="1"/>
      <c r="T186" s="1"/>
      <c r="U186">
        <v>-165850</v>
      </c>
      <c r="W186" s="1"/>
    </row>
    <row r="187" spans="1:23" x14ac:dyDescent="0.4">
      <c r="A187" s="4">
        <v>300</v>
      </c>
      <c r="B187" t="s">
        <v>267</v>
      </c>
      <c r="C187" t="s">
        <v>26</v>
      </c>
      <c r="D187" s="4">
        <v>19400</v>
      </c>
      <c r="E187" t="s">
        <v>365</v>
      </c>
      <c r="L187" s="1"/>
      <c r="M187" s="1"/>
      <c r="N187" s="1"/>
      <c r="O187" s="1"/>
      <c r="P187" s="1"/>
      <c r="Q187" s="1"/>
      <c r="R187" s="1"/>
      <c r="T187" s="1"/>
      <c r="W187" s="1"/>
    </row>
    <row r="188" spans="1:23" x14ac:dyDescent="0.4">
      <c r="A188" s="4">
        <v>300</v>
      </c>
      <c r="B188" t="s">
        <v>267</v>
      </c>
      <c r="C188" t="s">
        <v>26</v>
      </c>
      <c r="D188" s="4">
        <v>19400</v>
      </c>
      <c r="E188" t="s">
        <v>293</v>
      </c>
      <c r="L188" s="1"/>
      <c r="M188" s="1"/>
      <c r="N188" s="1"/>
      <c r="O188" s="1"/>
      <c r="P188" s="1"/>
      <c r="Q188" s="1">
        <v>-897000</v>
      </c>
      <c r="R188" s="32">
        <v>-897000</v>
      </c>
      <c r="T188" s="1">
        <v>141100</v>
      </c>
      <c r="W188" s="1"/>
    </row>
    <row r="189" spans="1:23" x14ac:dyDescent="0.4">
      <c r="A189" t="s">
        <v>266</v>
      </c>
      <c r="B189" t="s">
        <v>267</v>
      </c>
      <c r="C189" t="s">
        <v>26</v>
      </c>
      <c r="D189" t="s">
        <v>223</v>
      </c>
      <c r="E189" t="s">
        <v>43</v>
      </c>
      <c r="L189" s="1">
        <v>-900000</v>
      </c>
      <c r="M189" s="1">
        <v>-900000</v>
      </c>
      <c r="N189" s="1"/>
      <c r="O189" s="1">
        <v>-929326</v>
      </c>
      <c r="P189" s="1"/>
      <c r="Q189" s="1">
        <v>-900000</v>
      </c>
      <c r="R189" s="1">
        <v>-900000</v>
      </c>
      <c r="S189" s="1">
        <v>-1000000</v>
      </c>
      <c r="T189" s="1">
        <v>-1000000</v>
      </c>
      <c r="U189" s="1">
        <v>-1000000</v>
      </c>
      <c r="V189" s="1"/>
      <c r="W189" s="1">
        <v>-1000000</v>
      </c>
    </row>
    <row r="190" spans="1:23" x14ac:dyDescent="0.4">
      <c r="A190" s="17">
        <v>300</v>
      </c>
      <c r="B190" s="2" t="s">
        <v>26</v>
      </c>
      <c r="C190" s="2"/>
      <c r="D190" s="2"/>
      <c r="E190" s="2"/>
      <c r="F190" s="2"/>
      <c r="G190" s="2"/>
      <c r="H190" s="2"/>
      <c r="I190" s="2"/>
      <c r="J190" s="2"/>
      <c r="K190" s="2"/>
      <c r="L190" s="3">
        <f>SUM(L175:L189)</f>
        <v>-8516000</v>
      </c>
      <c r="M190" s="3">
        <f>SUM(M175:M189)</f>
        <v>-10014000</v>
      </c>
      <c r="N190" s="3"/>
      <c r="O190" s="3">
        <f t="shared" ref="O190:W190" si="5">SUM(O175:O189)</f>
        <v>-10154400</v>
      </c>
      <c r="P190" s="24">
        <f t="shared" si="5"/>
        <v>-8876727</v>
      </c>
      <c r="Q190" s="24">
        <f t="shared" si="5"/>
        <v>-11232000</v>
      </c>
      <c r="R190" s="24">
        <f t="shared" si="5"/>
        <v>-10542000</v>
      </c>
      <c r="S190" s="24">
        <f t="shared" si="5"/>
        <v>-11034500</v>
      </c>
      <c r="T190" s="24">
        <f t="shared" si="5"/>
        <v>-10980100</v>
      </c>
      <c r="U190" s="24">
        <f t="shared" si="5"/>
        <v>-12597500</v>
      </c>
      <c r="V190" s="24">
        <f t="shared" si="5"/>
        <v>-9515617</v>
      </c>
      <c r="W190" s="24">
        <f t="shared" si="5"/>
        <v>-12038350</v>
      </c>
    </row>
    <row r="191" spans="1:23" x14ac:dyDescent="0.4">
      <c r="L191" s="1"/>
      <c r="M191" s="1"/>
      <c r="N191" s="1"/>
      <c r="O191" s="1"/>
      <c r="P191" s="1"/>
      <c r="Q191" s="1"/>
    </row>
    <row r="192" spans="1:23" x14ac:dyDescent="0.4">
      <c r="A192" s="6">
        <v>390</v>
      </c>
      <c r="B192" s="2" t="s">
        <v>294</v>
      </c>
      <c r="C192" s="2" t="s">
        <v>14</v>
      </c>
      <c r="D192" s="6">
        <v>15500</v>
      </c>
      <c r="E192" s="2" t="s">
        <v>58</v>
      </c>
      <c r="F192" s="2"/>
      <c r="G192" s="2"/>
      <c r="H192" s="2"/>
      <c r="I192" s="2"/>
      <c r="J192" s="2"/>
      <c r="K192" s="2"/>
      <c r="L192" s="3"/>
      <c r="M192" s="3"/>
      <c r="N192" s="3"/>
      <c r="O192" s="3"/>
      <c r="P192" s="3"/>
      <c r="Q192" s="3"/>
      <c r="R192" s="2"/>
      <c r="S192" s="2"/>
      <c r="T192" s="2"/>
      <c r="U192" s="2"/>
      <c r="V192" s="2">
        <v>19080</v>
      </c>
      <c r="W192">
        <v>20000</v>
      </c>
    </row>
    <row r="193" spans="1:23" x14ac:dyDescent="0.4">
      <c r="A193" s="6">
        <v>390</v>
      </c>
      <c r="B193" s="2" t="s">
        <v>294</v>
      </c>
      <c r="C193" s="2" t="s">
        <v>26</v>
      </c>
      <c r="D193" s="6">
        <v>17800</v>
      </c>
      <c r="E193" s="2" t="s">
        <v>91</v>
      </c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3"/>
      <c r="R193" s="2"/>
      <c r="S193" s="2"/>
      <c r="T193" s="2"/>
      <c r="U193" s="2"/>
      <c r="V193" s="2">
        <v>-19080</v>
      </c>
      <c r="W193">
        <v>-20000</v>
      </c>
    </row>
    <row r="194" spans="1:23" x14ac:dyDescent="0.4">
      <c r="A194" s="4"/>
      <c r="D194" s="4"/>
      <c r="L194" s="1"/>
      <c r="M194" s="1"/>
      <c r="N194" s="1"/>
      <c r="O194" s="1"/>
      <c r="P194" s="1"/>
      <c r="Q194" s="1"/>
    </row>
    <row r="195" spans="1:23" x14ac:dyDescent="0.4">
      <c r="L195" s="1"/>
      <c r="M195" s="1"/>
      <c r="N195" s="1"/>
      <c r="O195" s="1"/>
      <c r="P195" s="1"/>
      <c r="Q195" s="1"/>
    </row>
    <row r="196" spans="1:23" x14ac:dyDescent="0.4">
      <c r="A196" t="s">
        <v>295</v>
      </c>
      <c r="B196" t="s">
        <v>296</v>
      </c>
      <c r="C196" t="s">
        <v>14</v>
      </c>
      <c r="D196" t="s">
        <v>132</v>
      </c>
      <c r="E196" t="s">
        <v>133</v>
      </c>
      <c r="L196" s="1">
        <v>2016000</v>
      </c>
      <c r="M196" s="1">
        <v>2016000</v>
      </c>
      <c r="N196" s="1"/>
      <c r="O196" s="1">
        <v>1934317</v>
      </c>
      <c r="P196" s="1">
        <v>1674933</v>
      </c>
      <c r="Q196" s="1">
        <v>2110500</v>
      </c>
      <c r="R196" s="1">
        <v>2110500</v>
      </c>
      <c r="S196" s="1">
        <v>2145000</v>
      </c>
      <c r="T196" s="1">
        <v>2145000</v>
      </c>
      <c r="U196" s="1">
        <v>2380000</v>
      </c>
      <c r="V196" s="1">
        <v>1306729</v>
      </c>
      <c r="W196" s="1">
        <v>2380000</v>
      </c>
    </row>
    <row r="197" spans="1:23" x14ac:dyDescent="0.4">
      <c r="A197" t="s">
        <v>295</v>
      </c>
      <c r="B197" t="s">
        <v>296</v>
      </c>
      <c r="C197" t="s">
        <v>14</v>
      </c>
      <c r="D197" t="s">
        <v>135</v>
      </c>
      <c r="E197" t="s">
        <v>136</v>
      </c>
      <c r="L197" s="1">
        <v>81000</v>
      </c>
      <c r="M197" s="1">
        <v>81000</v>
      </c>
      <c r="N197" s="1"/>
      <c r="O197" s="1">
        <v>137053</v>
      </c>
      <c r="P197" s="1">
        <v>79613</v>
      </c>
      <c r="Q197" s="1">
        <v>45000</v>
      </c>
      <c r="R197" s="1">
        <v>63000</v>
      </c>
      <c r="S197" s="1">
        <v>16450</v>
      </c>
      <c r="T197" s="1">
        <v>16450</v>
      </c>
      <c r="U197" s="1">
        <v>17000</v>
      </c>
      <c r="V197" s="1">
        <v>64858</v>
      </c>
      <c r="W197" s="1">
        <v>17000</v>
      </c>
    </row>
    <row r="198" spans="1:23" x14ac:dyDescent="0.4">
      <c r="A198" t="s">
        <v>295</v>
      </c>
      <c r="B198" t="s">
        <v>296</v>
      </c>
      <c r="C198" t="s">
        <v>14</v>
      </c>
      <c r="D198" t="s">
        <v>226</v>
      </c>
      <c r="E198" t="s">
        <v>227</v>
      </c>
      <c r="L198" s="1">
        <v>0</v>
      </c>
      <c r="M198" s="1">
        <v>0</v>
      </c>
      <c r="N198" s="1"/>
      <c r="O198" s="1">
        <v>38585</v>
      </c>
      <c r="P198" s="1">
        <v>11245.58</v>
      </c>
      <c r="Q198" s="1">
        <v>30000</v>
      </c>
      <c r="R198" s="1">
        <v>20000</v>
      </c>
      <c r="S198" s="1"/>
      <c r="T198" s="1"/>
      <c r="U198" s="1">
        <v>30000</v>
      </c>
      <c r="V198" s="1">
        <v>111863</v>
      </c>
      <c r="W198" s="1">
        <v>30000</v>
      </c>
    </row>
    <row r="199" spans="1:23" x14ac:dyDescent="0.4">
      <c r="A199" t="s">
        <v>295</v>
      </c>
      <c r="B199" t="s">
        <v>296</v>
      </c>
      <c r="C199" t="s">
        <v>14</v>
      </c>
      <c r="D199" t="s">
        <v>297</v>
      </c>
      <c r="E199" t="s">
        <v>298</v>
      </c>
      <c r="L199" s="1">
        <v>35000</v>
      </c>
      <c r="M199" s="1">
        <v>35000</v>
      </c>
      <c r="N199" s="1"/>
      <c r="O199" s="1">
        <v>0</v>
      </c>
      <c r="P199" s="1"/>
      <c r="Q199" s="1">
        <v>30000</v>
      </c>
      <c r="R199" s="1">
        <v>30000</v>
      </c>
      <c r="S199" s="1"/>
      <c r="T199" s="1"/>
      <c r="V199" s="1">
        <v>12173</v>
      </c>
    </row>
    <row r="200" spans="1:23" x14ac:dyDescent="0.4">
      <c r="A200" s="4">
        <v>400</v>
      </c>
      <c r="B200" t="s">
        <v>296</v>
      </c>
      <c r="C200" t="s">
        <v>14</v>
      </c>
      <c r="D200" s="4">
        <v>10400</v>
      </c>
      <c r="E200" t="s">
        <v>229</v>
      </c>
      <c r="L200" s="1"/>
      <c r="M200" s="1"/>
      <c r="N200" s="1"/>
      <c r="O200" s="1"/>
      <c r="P200" s="1"/>
      <c r="Q200" s="1"/>
      <c r="R200" s="1"/>
      <c r="S200" s="1"/>
      <c r="T200" s="1"/>
    </row>
    <row r="201" spans="1:23" x14ac:dyDescent="0.4">
      <c r="A201" t="s">
        <v>295</v>
      </c>
      <c r="B201" t="s">
        <v>296</v>
      </c>
      <c r="C201" t="s">
        <v>14</v>
      </c>
      <c r="D201" t="s">
        <v>139</v>
      </c>
      <c r="E201" t="s">
        <v>140</v>
      </c>
      <c r="L201" s="1">
        <v>20000</v>
      </c>
      <c r="M201" s="1">
        <v>20000</v>
      </c>
      <c r="N201" s="1"/>
      <c r="O201" s="1">
        <v>20357</v>
      </c>
      <c r="P201" s="1">
        <v>18031</v>
      </c>
      <c r="Q201" s="1">
        <v>20000</v>
      </c>
      <c r="R201" s="1">
        <v>20000</v>
      </c>
      <c r="U201" s="1">
        <v>15000</v>
      </c>
      <c r="V201" s="1">
        <v>18328</v>
      </c>
      <c r="W201" s="1">
        <v>15000</v>
      </c>
    </row>
    <row r="202" spans="1:23" x14ac:dyDescent="0.4">
      <c r="A202" t="s">
        <v>295</v>
      </c>
      <c r="B202" t="s">
        <v>296</v>
      </c>
      <c r="C202" t="s">
        <v>14</v>
      </c>
      <c r="D202" t="s">
        <v>143</v>
      </c>
      <c r="E202" t="s">
        <v>144</v>
      </c>
      <c r="L202" s="1">
        <v>380000</v>
      </c>
      <c r="M202" s="1">
        <v>380000</v>
      </c>
      <c r="N202" s="1"/>
      <c r="O202" s="1">
        <v>290305</v>
      </c>
      <c r="P202" s="1">
        <v>266724</v>
      </c>
      <c r="Q202" s="1">
        <v>381800</v>
      </c>
      <c r="R202" s="1">
        <v>381800</v>
      </c>
      <c r="S202" s="1">
        <v>400000</v>
      </c>
      <c r="T202" s="1">
        <v>400000</v>
      </c>
      <c r="U202" s="1">
        <v>575000</v>
      </c>
      <c r="V202" s="1">
        <v>324729</v>
      </c>
      <c r="W202" s="1">
        <v>575000</v>
      </c>
    </row>
    <row r="203" spans="1:23" x14ac:dyDescent="0.4">
      <c r="A203" t="s">
        <v>295</v>
      </c>
      <c r="B203" t="s">
        <v>296</v>
      </c>
      <c r="C203" t="s">
        <v>14</v>
      </c>
      <c r="D203" t="s">
        <v>145</v>
      </c>
      <c r="E203" t="s">
        <v>146</v>
      </c>
      <c r="L203" s="1">
        <v>10000</v>
      </c>
      <c r="M203" s="1">
        <v>10000</v>
      </c>
      <c r="N203" s="1"/>
      <c r="O203" s="1">
        <v>10636</v>
      </c>
      <c r="P203" s="1">
        <v>8481</v>
      </c>
      <c r="Q203" s="1">
        <v>6000</v>
      </c>
      <c r="R203" s="1">
        <v>6000</v>
      </c>
      <c r="S203" s="1">
        <v>2500</v>
      </c>
      <c r="T203" s="1">
        <v>2500</v>
      </c>
      <c r="U203" s="1">
        <v>6500</v>
      </c>
      <c r="V203" s="1">
        <v>5274</v>
      </c>
      <c r="W203" s="1">
        <v>6500</v>
      </c>
    </row>
    <row r="204" spans="1:23" x14ac:dyDescent="0.4">
      <c r="A204" t="s">
        <v>295</v>
      </c>
      <c r="B204" t="s">
        <v>296</v>
      </c>
      <c r="C204" t="s">
        <v>14</v>
      </c>
      <c r="D204" t="s">
        <v>147</v>
      </c>
      <c r="E204" t="s">
        <v>148</v>
      </c>
      <c r="L204" s="1">
        <v>349000</v>
      </c>
      <c r="M204" s="1">
        <v>349000</v>
      </c>
      <c r="N204" s="1"/>
      <c r="O204" s="1">
        <v>312046</v>
      </c>
      <c r="P204" s="1">
        <v>286938</v>
      </c>
      <c r="Q204" s="1">
        <v>351700</v>
      </c>
      <c r="R204" s="1">
        <v>351700</v>
      </c>
      <c r="S204" s="1">
        <v>360000</v>
      </c>
      <c r="T204" s="1">
        <v>360000</v>
      </c>
      <c r="U204" s="1">
        <v>417000</v>
      </c>
      <c r="V204" s="1">
        <v>256035</v>
      </c>
      <c r="W204" s="1">
        <v>417000</v>
      </c>
    </row>
    <row r="205" spans="1:23" x14ac:dyDescent="0.4">
      <c r="A205" t="s">
        <v>295</v>
      </c>
      <c r="B205" t="s">
        <v>296</v>
      </c>
      <c r="C205" t="s">
        <v>14</v>
      </c>
      <c r="D205" t="s">
        <v>149</v>
      </c>
      <c r="E205" t="s">
        <v>150</v>
      </c>
      <c r="L205" s="1">
        <v>8000</v>
      </c>
      <c r="M205" s="1">
        <v>8000</v>
      </c>
      <c r="N205" s="1"/>
      <c r="O205" s="1">
        <v>2411</v>
      </c>
      <c r="P205" s="1">
        <v>704</v>
      </c>
      <c r="Q205" s="1">
        <v>10000</v>
      </c>
      <c r="R205" s="1">
        <v>10000</v>
      </c>
      <c r="S205" s="1">
        <v>8400</v>
      </c>
      <c r="T205" s="1">
        <v>6400</v>
      </c>
      <c r="U205" s="1">
        <v>8000</v>
      </c>
      <c r="V205" s="1">
        <v>16072</v>
      </c>
      <c r="W205" s="1">
        <v>8000</v>
      </c>
    </row>
    <row r="206" spans="1:23" x14ac:dyDescent="0.4">
      <c r="A206" t="s">
        <v>295</v>
      </c>
      <c r="B206" t="s">
        <v>296</v>
      </c>
      <c r="C206" t="s">
        <v>14</v>
      </c>
      <c r="D206" t="s">
        <v>151</v>
      </c>
      <c r="E206" t="s">
        <v>152</v>
      </c>
      <c r="L206" s="1">
        <v>57000</v>
      </c>
      <c r="M206" s="1">
        <v>57000</v>
      </c>
      <c r="N206" s="1"/>
      <c r="O206" s="1">
        <v>240005</v>
      </c>
      <c r="P206" s="1">
        <v>165319</v>
      </c>
      <c r="Q206" s="1">
        <v>210000</v>
      </c>
      <c r="R206" s="1">
        <v>190000</v>
      </c>
      <c r="S206" s="1">
        <v>245000</v>
      </c>
      <c r="T206" s="1">
        <v>220000</v>
      </c>
      <c r="U206" s="1">
        <v>270000</v>
      </c>
      <c r="V206" s="1">
        <v>103823</v>
      </c>
      <c r="W206" s="1">
        <v>270000</v>
      </c>
    </row>
    <row r="207" spans="1:23" x14ac:dyDescent="0.4">
      <c r="A207" t="s">
        <v>295</v>
      </c>
      <c r="B207" t="s">
        <v>296</v>
      </c>
      <c r="C207" t="s">
        <v>14</v>
      </c>
      <c r="D207" t="s">
        <v>153</v>
      </c>
      <c r="E207" t="s">
        <v>154</v>
      </c>
      <c r="L207" s="1">
        <v>104000</v>
      </c>
      <c r="M207" s="1">
        <v>104000</v>
      </c>
      <c r="N207" s="1"/>
      <c r="O207" s="1">
        <v>1572</v>
      </c>
      <c r="P207" s="1">
        <v>2017</v>
      </c>
      <c r="Q207" s="1">
        <v>30000</v>
      </c>
      <c r="R207" s="1">
        <v>30000</v>
      </c>
      <c r="S207" s="1">
        <v>27000</v>
      </c>
      <c r="T207" s="1">
        <v>12000</v>
      </c>
      <c r="U207" s="1">
        <v>4000</v>
      </c>
      <c r="V207" s="1">
        <v>4423</v>
      </c>
      <c r="W207" s="1">
        <v>4000</v>
      </c>
    </row>
    <row r="208" spans="1:23" x14ac:dyDescent="0.4">
      <c r="A208" t="s">
        <v>295</v>
      </c>
      <c r="B208" t="s">
        <v>296</v>
      </c>
      <c r="C208" t="s">
        <v>14</v>
      </c>
      <c r="D208" t="s">
        <v>155</v>
      </c>
      <c r="E208" t="s">
        <v>156</v>
      </c>
      <c r="L208" s="1">
        <v>0</v>
      </c>
      <c r="M208" s="1">
        <v>0</v>
      </c>
      <c r="N208" s="1"/>
      <c r="O208" s="1">
        <v>4176</v>
      </c>
      <c r="P208" s="1"/>
      <c r="Q208" s="1">
        <v>3000</v>
      </c>
      <c r="R208" s="1">
        <v>3000</v>
      </c>
      <c r="S208" s="1">
        <v>2000</v>
      </c>
      <c r="T208" s="1">
        <v>2000</v>
      </c>
      <c r="U208" s="1">
        <v>1000</v>
      </c>
      <c r="V208" s="1">
        <v>1700</v>
      </c>
      <c r="W208" s="1">
        <v>1000</v>
      </c>
    </row>
    <row r="209" spans="1:23" x14ac:dyDescent="0.4">
      <c r="A209" t="s">
        <v>295</v>
      </c>
      <c r="B209" t="s">
        <v>296</v>
      </c>
      <c r="C209" t="s">
        <v>14</v>
      </c>
      <c r="D209" t="s">
        <v>157</v>
      </c>
      <c r="E209" t="s">
        <v>158</v>
      </c>
      <c r="L209" s="1">
        <v>75000</v>
      </c>
      <c r="M209" s="1">
        <v>75000</v>
      </c>
      <c r="N209" s="1"/>
      <c r="O209" s="1">
        <v>16552</v>
      </c>
      <c r="P209" s="1">
        <v>15771</v>
      </c>
      <c r="Q209" s="1">
        <v>71000</v>
      </c>
      <c r="R209" s="1">
        <v>78000</v>
      </c>
      <c r="S209" s="1">
        <v>59000</v>
      </c>
      <c r="T209" s="1">
        <v>40000</v>
      </c>
      <c r="U209" s="1">
        <v>55000</v>
      </c>
      <c r="V209" s="1">
        <v>44365</v>
      </c>
      <c r="W209" s="1">
        <v>55000</v>
      </c>
    </row>
    <row r="210" spans="1:23" x14ac:dyDescent="0.4">
      <c r="A210" t="s">
        <v>295</v>
      </c>
      <c r="B210" t="s">
        <v>296</v>
      </c>
      <c r="C210" t="s">
        <v>14</v>
      </c>
      <c r="D210" t="s">
        <v>159</v>
      </c>
      <c r="E210" t="s">
        <v>160</v>
      </c>
      <c r="L210" s="1">
        <v>0</v>
      </c>
      <c r="M210" s="1">
        <v>0</v>
      </c>
      <c r="N210" s="1"/>
      <c r="O210" s="1">
        <v>3054</v>
      </c>
      <c r="P210" s="1">
        <v>668.72</v>
      </c>
      <c r="Q210" s="1">
        <v>7000</v>
      </c>
      <c r="R210" s="1">
        <v>7000</v>
      </c>
      <c r="S210" s="1">
        <v>7000</v>
      </c>
      <c r="T210" s="1">
        <v>3000</v>
      </c>
      <c r="U210" s="1">
        <v>3500</v>
      </c>
      <c r="V210" s="1">
        <v>-3530</v>
      </c>
      <c r="W210" s="1">
        <v>3500</v>
      </c>
    </row>
    <row r="211" spans="1:23" x14ac:dyDescent="0.4">
      <c r="A211" s="4">
        <v>400</v>
      </c>
      <c r="B211" t="s">
        <v>296</v>
      </c>
      <c r="C211" t="s">
        <v>14</v>
      </c>
      <c r="D211" s="4">
        <v>11210</v>
      </c>
      <c r="E211" t="s">
        <v>270</v>
      </c>
      <c r="L211" s="1"/>
      <c r="M211" s="1"/>
      <c r="N211" s="1"/>
      <c r="O211" s="1"/>
      <c r="P211" s="1">
        <v>1520</v>
      </c>
      <c r="Q211" s="1"/>
      <c r="R211" s="1"/>
      <c r="S211" s="1">
        <v>2000</v>
      </c>
      <c r="T211" s="1">
        <v>2000</v>
      </c>
    </row>
    <row r="212" spans="1:23" x14ac:dyDescent="0.4">
      <c r="A212" t="s">
        <v>295</v>
      </c>
      <c r="B212" t="s">
        <v>296</v>
      </c>
      <c r="C212" t="s">
        <v>14</v>
      </c>
      <c r="D212" t="s">
        <v>164</v>
      </c>
      <c r="E212" t="s">
        <v>165</v>
      </c>
      <c r="L212" s="1">
        <v>60000</v>
      </c>
      <c r="M212" s="1">
        <v>60000</v>
      </c>
      <c r="N212" s="1"/>
      <c r="O212" s="1">
        <v>54587</v>
      </c>
      <c r="P212" s="1">
        <v>35142</v>
      </c>
      <c r="Q212" s="1">
        <v>80000</v>
      </c>
      <c r="R212" s="1">
        <v>80000</v>
      </c>
      <c r="S212" s="1">
        <v>80000</v>
      </c>
      <c r="T212" s="1">
        <v>80000</v>
      </c>
      <c r="U212" s="1">
        <v>80000</v>
      </c>
      <c r="V212" s="1">
        <v>40647</v>
      </c>
      <c r="W212" s="1">
        <v>80000</v>
      </c>
    </row>
    <row r="213" spans="1:23" x14ac:dyDescent="0.4">
      <c r="A213" s="4">
        <v>400</v>
      </c>
      <c r="B213" t="s">
        <v>296</v>
      </c>
      <c r="C213" t="s">
        <v>14</v>
      </c>
      <c r="D213" s="4">
        <v>11310</v>
      </c>
      <c r="E213" t="s">
        <v>166</v>
      </c>
      <c r="L213" s="1"/>
      <c r="M213" s="1"/>
      <c r="N213" s="1"/>
      <c r="O213" s="1"/>
      <c r="P213" s="1"/>
      <c r="Q213" s="1"/>
      <c r="R213" s="1"/>
      <c r="S213" s="1"/>
      <c r="T213" s="1">
        <v>25000</v>
      </c>
      <c r="U213" s="1">
        <v>20000</v>
      </c>
      <c r="V213" s="1">
        <v>17828</v>
      </c>
      <c r="W213" s="1">
        <v>20000</v>
      </c>
    </row>
    <row r="214" spans="1:23" x14ac:dyDescent="0.4">
      <c r="A214" t="s">
        <v>295</v>
      </c>
      <c r="B214" t="s">
        <v>296</v>
      </c>
      <c r="C214" t="s">
        <v>14</v>
      </c>
      <c r="D214" t="s">
        <v>167</v>
      </c>
      <c r="E214" t="s">
        <v>168</v>
      </c>
      <c r="L214" s="1">
        <v>4000</v>
      </c>
      <c r="M214" s="1">
        <v>4000</v>
      </c>
      <c r="N214" s="1"/>
      <c r="O214" s="1">
        <v>50117</v>
      </c>
      <c r="P214" s="1">
        <v>21333</v>
      </c>
      <c r="Q214" s="1">
        <v>16000</v>
      </c>
      <c r="R214" s="1">
        <v>6000</v>
      </c>
      <c r="S214" s="1">
        <v>5000</v>
      </c>
      <c r="T214" s="1">
        <v>50000</v>
      </c>
      <c r="U214" s="1">
        <v>55000</v>
      </c>
      <c r="V214" s="1">
        <v>34704</v>
      </c>
      <c r="W214" s="1">
        <v>55000</v>
      </c>
    </row>
    <row r="215" spans="1:23" x14ac:dyDescent="0.4">
      <c r="A215" t="s">
        <v>295</v>
      </c>
      <c r="B215" t="s">
        <v>296</v>
      </c>
      <c r="C215" t="s">
        <v>14</v>
      </c>
      <c r="D215" t="s">
        <v>169</v>
      </c>
      <c r="E215" t="s">
        <v>299</v>
      </c>
      <c r="L215" s="1">
        <v>70000</v>
      </c>
      <c r="M215" s="1">
        <v>70000</v>
      </c>
      <c r="N215" s="1"/>
      <c r="O215" s="1">
        <v>20255</v>
      </c>
      <c r="P215" s="1">
        <v>19240</v>
      </c>
      <c r="Q215" s="1">
        <v>55000</v>
      </c>
      <c r="R215" s="1">
        <v>70000</v>
      </c>
      <c r="S215" s="1">
        <v>123000</v>
      </c>
      <c r="T215" s="1">
        <v>110000</v>
      </c>
      <c r="U215" s="1">
        <v>118000</v>
      </c>
      <c r="V215" s="1">
        <v>130533</v>
      </c>
      <c r="W215" s="1">
        <v>118000</v>
      </c>
    </row>
    <row r="216" spans="1:23" x14ac:dyDescent="0.4">
      <c r="A216" t="s">
        <v>295</v>
      </c>
      <c r="B216" t="s">
        <v>296</v>
      </c>
      <c r="C216" t="s">
        <v>14</v>
      </c>
      <c r="D216" t="s">
        <v>300</v>
      </c>
      <c r="E216" t="s">
        <v>301</v>
      </c>
      <c r="L216" s="1">
        <v>5000</v>
      </c>
      <c r="M216" s="1">
        <v>5000</v>
      </c>
      <c r="N216" s="1"/>
      <c r="O216" s="1">
        <v>229</v>
      </c>
      <c r="P216" s="1"/>
      <c r="Q216" s="1">
        <v>1000</v>
      </c>
      <c r="R216" s="1">
        <v>1000</v>
      </c>
      <c r="S216" s="1"/>
      <c r="T216" s="1"/>
    </row>
    <row r="217" spans="1:23" x14ac:dyDescent="0.4">
      <c r="A217" t="s">
        <v>295</v>
      </c>
      <c r="B217" t="s">
        <v>296</v>
      </c>
      <c r="C217" t="s">
        <v>14</v>
      </c>
      <c r="D217" t="s">
        <v>171</v>
      </c>
      <c r="E217" t="s">
        <v>172</v>
      </c>
      <c r="L217" s="1">
        <v>10000</v>
      </c>
      <c r="M217" s="1">
        <v>10000</v>
      </c>
      <c r="N217" s="1"/>
      <c r="O217" s="1">
        <v>4453</v>
      </c>
      <c r="P217" s="1">
        <v>2604</v>
      </c>
      <c r="Q217" s="1">
        <v>3000</v>
      </c>
      <c r="R217" s="1">
        <v>3000</v>
      </c>
      <c r="S217" s="1">
        <v>500</v>
      </c>
      <c r="T217" s="1">
        <v>4100</v>
      </c>
      <c r="U217" s="1">
        <v>4000</v>
      </c>
      <c r="V217" s="1">
        <v>8790</v>
      </c>
      <c r="W217" s="1">
        <v>4000</v>
      </c>
    </row>
    <row r="218" spans="1:23" x14ac:dyDescent="0.4">
      <c r="A218" s="4">
        <v>400</v>
      </c>
      <c r="B218" t="s">
        <v>296</v>
      </c>
      <c r="C218" t="s">
        <v>14</v>
      </c>
      <c r="D218" s="4">
        <v>11650</v>
      </c>
      <c r="E218" t="s">
        <v>271</v>
      </c>
      <c r="L218" s="1"/>
      <c r="M218" s="1"/>
      <c r="N218" s="1"/>
      <c r="O218" s="1"/>
      <c r="P218" s="1">
        <v>2000</v>
      </c>
      <c r="Q218" s="1"/>
      <c r="R218" s="1"/>
      <c r="S218" s="1">
        <v>2500</v>
      </c>
      <c r="T218" s="1">
        <v>2500</v>
      </c>
      <c r="U218" s="1"/>
      <c r="V218" s="1"/>
    </row>
    <row r="219" spans="1:23" x14ac:dyDescent="0.4">
      <c r="A219" t="s">
        <v>295</v>
      </c>
      <c r="B219" t="s">
        <v>296</v>
      </c>
      <c r="C219" t="s">
        <v>14</v>
      </c>
      <c r="D219" t="s">
        <v>174</v>
      </c>
      <c r="E219" t="s">
        <v>175</v>
      </c>
      <c r="L219" s="1">
        <v>0</v>
      </c>
      <c r="M219" s="1">
        <v>0</v>
      </c>
      <c r="N219" s="1"/>
      <c r="O219" s="1">
        <v>4386</v>
      </c>
      <c r="P219" s="1">
        <v>64</v>
      </c>
      <c r="Q219" s="1">
        <v>2000</v>
      </c>
      <c r="R219" s="1">
        <v>4500</v>
      </c>
      <c r="S219" s="1">
        <v>4000</v>
      </c>
      <c r="T219" s="1">
        <v>38000</v>
      </c>
      <c r="U219" s="1">
        <v>38000</v>
      </c>
      <c r="V219" s="1">
        <v>836</v>
      </c>
      <c r="W219" s="1">
        <v>38000</v>
      </c>
    </row>
    <row r="220" spans="1:23" x14ac:dyDescent="0.4">
      <c r="A220" t="s">
        <v>295</v>
      </c>
      <c r="B220" t="s">
        <v>296</v>
      </c>
      <c r="C220" t="s">
        <v>14</v>
      </c>
      <c r="D220" t="s">
        <v>176</v>
      </c>
      <c r="E220" t="s">
        <v>177</v>
      </c>
      <c r="L220" s="1">
        <v>0</v>
      </c>
      <c r="M220" s="1">
        <v>0</v>
      </c>
      <c r="N220" s="1"/>
      <c r="O220" s="1">
        <v>-10636</v>
      </c>
      <c r="P220" s="1">
        <v>-8481</v>
      </c>
      <c r="Q220" s="1"/>
      <c r="R220" s="1">
        <v>0</v>
      </c>
      <c r="T220" s="1">
        <v>0</v>
      </c>
      <c r="V220" s="1">
        <v>-5274</v>
      </c>
      <c r="W220">
        <v>0</v>
      </c>
    </row>
    <row r="221" spans="1:23" x14ac:dyDescent="0.4">
      <c r="A221" s="4">
        <v>400</v>
      </c>
      <c r="B221" t="s">
        <v>296</v>
      </c>
      <c r="C221" t="s">
        <v>14</v>
      </c>
      <c r="D221" s="4">
        <v>11900</v>
      </c>
      <c r="E221" t="s">
        <v>238</v>
      </c>
      <c r="L221" s="1"/>
      <c r="M221" s="1"/>
      <c r="N221" s="1"/>
      <c r="O221" s="1"/>
      <c r="P221" s="1"/>
      <c r="Q221" s="1"/>
      <c r="R221" s="1"/>
    </row>
    <row r="222" spans="1:23" x14ac:dyDescent="0.4">
      <c r="A222" t="s">
        <v>295</v>
      </c>
      <c r="B222" t="s">
        <v>296</v>
      </c>
      <c r="C222" t="s">
        <v>14</v>
      </c>
      <c r="D222" t="s">
        <v>178</v>
      </c>
      <c r="E222" t="s">
        <v>179</v>
      </c>
      <c r="L222" s="1">
        <v>55000</v>
      </c>
      <c r="M222" s="1">
        <v>0</v>
      </c>
      <c r="N222" s="1"/>
      <c r="O222" s="1">
        <v>48</v>
      </c>
      <c r="P222" s="1"/>
      <c r="Q222" s="1"/>
      <c r="R222" s="1">
        <v>0</v>
      </c>
    </row>
    <row r="223" spans="1:23" x14ac:dyDescent="0.4">
      <c r="A223" t="s">
        <v>295</v>
      </c>
      <c r="B223" t="s">
        <v>296</v>
      </c>
      <c r="C223" t="s">
        <v>14</v>
      </c>
      <c r="D223" t="s">
        <v>180</v>
      </c>
      <c r="E223" t="s">
        <v>181</v>
      </c>
      <c r="L223" s="1">
        <v>0</v>
      </c>
      <c r="M223" s="1">
        <v>55000</v>
      </c>
      <c r="N223" s="1"/>
      <c r="O223" s="1">
        <v>37381</v>
      </c>
      <c r="P223" s="1">
        <v>41661</v>
      </c>
      <c r="Q223" s="1">
        <v>60000</v>
      </c>
      <c r="R223" s="1">
        <v>60000</v>
      </c>
      <c r="S223" s="1">
        <v>32000</v>
      </c>
      <c r="T223" s="1"/>
      <c r="U223" s="1"/>
      <c r="V223" s="1">
        <v>24844</v>
      </c>
    </row>
    <row r="224" spans="1:23" x14ac:dyDescent="0.4">
      <c r="A224" t="s">
        <v>295</v>
      </c>
      <c r="B224" t="s">
        <v>296</v>
      </c>
      <c r="C224" t="s">
        <v>14</v>
      </c>
      <c r="D224" t="s">
        <v>182</v>
      </c>
      <c r="E224" t="s">
        <v>183</v>
      </c>
      <c r="L224" s="1">
        <v>36000</v>
      </c>
      <c r="M224" s="1">
        <v>36000</v>
      </c>
      <c r="N224" s="1"/>
      <c r="O224" s="1">
        <v>68851</v>
      </c>
      <c r="P224" s="1">
        <v>34927.199999999997</v>
      </c>
      <c r="Q224" s="1">
        <v>25000</v>
      </c>
      <c r="R224" s="1">
        <v>25000</v>
      </c>
      <c r="S224" s="1">
        <v>75000</v>
      </c>
      <c r="T224" s="1">
        <v>93650</v>
      </c>
      <c r="U224" s="1">
        <v>30000</v>
      </c>
      <c r="V224" s="1">
        <v>6827</v>
      </c>
      <c r="W224" s="1">
        <v>30000</v>
      </c>
    </row>
    <row r="225" spans="1:23" x14ac:dyDescent="0.4">
      <c r="A225" t="s">
        <v>295</v>
      </c>
      <c r="B225" t="s">
        <v>296</v>
      </c>
      <c r="C225" t="s">
        <v>14</v>
      </c>
      <c r="D225" t="s">
        <v>302</v>
      </c>
      <c r="E225" t="s">
        <v>10</v>
      </c>
      <c r="L225" s="1">
        <v>0</v>
      </c>
      <c r="M225" s="1">
        <v>0</v>
      </c>
      <c r="N225" s="1"/>
      <c r="O225" s="1">
        <v>29534</v>
      </c>
      <c r="P225" s="1"/>
      <c r="Q225" s="1"/>
      <c r="R225" s="1">
        <v>0</v>
      </c>
    </row>
    <row r="226" spans="1:23" x14ac:dyDescent="0.4">
      <c r="A226" t="s">
        <v>295</v>
      </c>
      <c r="B226" t="s">
        <v>296</v>
      </c>
      <c r="C226" t="s">
        <v>14</v>
      </c>
      <c r="D226" t="s">
        <v>303</v>
      </c>
      <c r="E226" t="s">
        <v>304</v>
      </c>
      <c r="L226" s="1">
        <v>75000</v>
      </c>
      <c r="M226" s="1">
        <v>75000</v>
      </c>
      <c r="N226" s="1"/>
      <c r="O226" s="1">
        <v>75000</v>
      </c>
      <c r="P226" s="1">
        <v>95500</v>
      </c>
      <c r="Q226" s="1">
        <v>95500</v>
      </c>
      <c r="R226" s="1">
        <v>95500</v>
      </c>
      <c r="S226" s="1">
        <v>100000</v>
      </c>
      <c r="T226" s="1">
        <v>100000</v>
      </c>
      <c r="U226" s="1">
        <v>125000</v>
      </c>
      <c r="V226" s="1">
        <v>125000</v>
      </c>
      <c r="W226" s="1">
        <v>125000</v>
      </c>
    </row>
    <row r="227" spans="1:23" x14ac:dyDescent="0.4">
      <c r="A227" t="s">
        <v>295</v>
      </c>
      <c r="B227" t="s">
        <v>296</v>
      </c>
      <c r="C227" t="s">
        <v>14</v>
      </c>
      <c r="D227" t="s">
        <v>195</v>
      </c>
      <c r="E227" t="s">
        <v>11</v>
      </c>
      <c r="L227" s="1">
        <v>60000</v>
      </c>
      <c r="M227" s="1">
        <v>60000</v>
      </c>
      <c r="N227" s="1"/>
      <c r="O227" s="1">
        <v>85071</v>
      </c>
      <c r="P227" s="1">
        <v>54105</v>
      </c>
      <c r="Q227" s="1">
        <v>90000</v>
      </c>
      <c r="R227" s="1">
        <v>90000</v>
      </c>
      <c r="S227" s="1">
        <v>85000</v>
      </c>
      <c r="T227" s="1">
        <v>85000</v>
      </c>
      <c r="U227" s="1">
        <v>110000</v>
      </c>
      <c r="V227" s="1">
        <v>76364</v>
      </c>
      <c r="W227" s="1">
        <v>110000</v>
      </c>
    </row>
    <row r="228" spans="1:23" x14ac:dyDescent="0.4">
      <c r="A228" t="s">
        <v>295</v>
      </c>
      <c r="B228" t="s">
        <v>296</v>
      </c>
      <c r="C228" t="s">
        <v>14</v>
      </c>
      <c r="D228" t="s">
        <v>249</v>
      </c>
      <c r="E228" t="s">
        <v>250</v>
      </c>
      <c r="L228" s="1">
        <v>0</v>
      </c>
      <c r="M228" s="1">
        <v>0</v>
      </c>
      <c r="N228" s="1"/>
      <c r="O228" s="1">
        <v>80000</v>
      </c>
      <c r="P228" s="1">
        <v>120000</v>
      </c>
      <c r="Q228" s="1"/>
      <c r="R228" s="1">
        <v>0</v>
      </c>
    </row>
    <row r="229" spans="1:23" x14ac:dyDescent="0.4">
      <c r="A229" s="4">
        <v>400</v>
      </c>
      <c r="B229" t="s">
        <v>296</v>
      </c>
      <c r="C229" t="s">
        <v>14</v>
      </c>
      <c r="D229" s="4">
        <v>15500</v>
      </c>
      <c r="E229" t="s">
        <v>58</v>
      </c>
      <c r="L229" s="1"/>
      <c r="M229" s="1"/>
      <c r="N229" s="1"/>
      <c r="O229" s="1"/>
      <c r="P229" s="1"/>
      <c r="Q229" s="1">
        <v>193650</v>
      </c>
      <c r="R229" s="1"/>
      <c r="W229" s="1"/>
    </row>
    <row r="230" spans="1:23" x14ac:dyDescent="0.4">
      <c r="A230" s="6">
        <v>400</v>
      </c>
      <c r="B230" s="2" t="s">
        <v>107</v>
      </c>
      <c r="C230" s="2"/>
      <c r="D230" s="2"/>
      <c r="E230" s="2"/>
      <c r="F230" s="2"/>
      <c r="G230" s="2"/>
      <c r="H230" s="2"/>
      <c r="I230" s="2"/>
      <c r="J230" s="2"/>
      <c r="K230" s="2"/>
      <c r="L230" s="3">
        <f>SUM(L196:L228)</f>
        <v>3510000</v>
      </c>
      <c r="M230" s="3">
        <f>SUM(M196:M228)</f>
        <v>3510000</v>
      </c>
      <c r="N230" s="3"/>
      <c r="O230" s="3">
        <f>SUM(O196:O228)</f>
        <v>3510345</v>
      </c>
      <c r="P230" s="3">
        <f t="shared" ref="P230:W230" si="6">SUM(P196:P229)</f>
        <v>2950060.5000000005</v>
      </c>
      <c r="Q230" s="3">
        <f t="shared" si="6"/>
        <v>3927150</v>
      </c>
      <c r="R230" s="3">
        <f t="shared" si="6"/>
        <v>3736000</v>
      </c>
      <c r="S230" s="3">
        <f t="shared" si="6"/>
        <v>3781350</v>
      </c>
      <c r="T230" s="3">
        <f t="shared" si="6"/>
        <v>3797600</v>
      </c>
      <c r="U230" s="3">
        <f t="shared" si="6"/>
        <v>4362000</v>
      </c>
      <c r="V230" s="3">
        <f t="shared" si="6"/>
        <v>2727941</v>
      </c>
      <c r="W230" s="3">
        <f t="shared" si="6"/>
        <v>4362000</v>
      </c>
    </row>
    <row r="231" spans="1:23" x14ac:dyDescent="0.4">
      <c r="L231" s="1"/>
      <c r="M231" s="1"/>
      <c r="N231" s="1"/>
      <c r="O231" s="1"/>
      <c r="P231" s="1"/>
      <c r="Q231" s="1"/>
    </row>
    <row r="232" spans="1:23" x14ac:dyDescent="0.4">
      <c r="L232" s="1"/>
      <c r="M232" s="1"/>
      <c r="N232" s="1"/>
      <c r="O232" s="1"/>
      <c r="P232" s="1"/>
      <c r="Q232" s="1"/>
    </row>
    <row r="233" spans="1:23" x14ac:dyDescent="0.4">
      <c r="A233" t="s">
        <v>295</v>
      </c>
      <c r="B233" t="s">
        <v>296</v>
      </c>
      <c r="C233" t="s">
        <v>26</v>
      </c>
      <c r="D233" t="s">
        <v>305</v>
      </c>
      <c r="E233" t="s">
        <v>59</v>
      </c>
      <c r="L233" s="1">
        <v>-10000</v>
      </c>
      <c r="M233" s="1">
        <v>-10000</v>
      </c>
      <c r="N233" s="1"/>
      <c r="O233" s="1">
        <v>-40904</v>
      </c>
      <c r="P233" s="1">
        <v>-27109</v>
      </c>
      <c r="Q233" s="1">
        <v>-38000</v>
      </c>
      <c r="R233" s="1">
        <v>-38000</v>
      </c>
      <c r="S233" s="1">
        <v>-53650</v>
      </c>
      <c r="T233" s="1">
        <v>-127600</v>
      </c>
      <c r="U233" s="1">
        <v>-150000</v>
      </c>
      <c r="V233" s="1">
        <v>-144865</v>
      </c>
      <c r="W233" s="1">
        <v>-150000</v>
      </c>
    </row>
    <row r="234" spans="1:23" x14ac:dyDescent="0.4">
      <c r="A234" s="4">
        <v>400</v>
      </c>
      <c r="B234" t="s">
        <v>296</v>
      </c>
      <c r="C234" t="s">
        <v>26</v>
      </c>
      <c r="D234" s="4">
        <v>16200</v>
      </c>
      <c r="E234" t="s">
        <v>201</v>
      </c>
      <c r="L234" s="1"/>
      <c r="M234" s="1"/>
      <c r="N234" s="1"/>
      <c r="O234" s="1"/>
      <c r="P234" s="1">
        <v>-1100</v>
      </c>
      <c r="Q234" s="1"/>
      <c r="R234" s="1"/>
      <c r="S234">
        <v>-2000</v>
      </c>
    </row>
    <row r="235" spans="1:23" x14ac:dyDescent="0.4">
      <c r="A235" t="s">
        <v>295</v>
      </c>
      <c r="B235" t="s">
        <v>296</v>
      </c>
      <c r="C235" t="s">
        <v>26</v>
      </c>
      <c r="D235" t="s">
        <v>205</v>
      </c>
      <c r="E235" t="s">
        <v>206</v>
      </c>
      <c r="L235" s="1">
        <v>0</v>
      </c>
      <c r="M235" s="1">
        <v>0</v>
      </c>
      <c r="N235" s="1"/>
      <c r="O235" s="1">
        <v>-17129</v>
      </c>
      <c r="P235" s="1">
        <v>-15742</v>
      </c>
      <c r="Q235" s="1"/>
      <c r="R235" s="1">
        <v>0</v>
      </c>
      <c r="T235" s="1">
        <v>-77000</v>
      </c>
      <c r="U235" s="1">
        <v>-90000</v>
      </c>
      <c r="V235" s="1">
        <v>-5349</v>
      </c>
      <c r="W235" s="1">
        <v>-90000</v>
      </c>
    </row>
    <row r="236" spans="1:23" x14ac:dyDescent="0.4">
      <c r="A236" t="s">
        <v>295</v>
      </c>
      <c r="B236" t="s">
        <v>296</v>
      </c>
      <c r="C236" t="s">
        <v>26</v>
      </c>
      <c r="D236" t="s">
        <v>207</v>
      </c>
      <c r="E236" t="s">
        <v>208</v>
      </c>
      <c r="L236" s="1">
        <v>-60000</v>
      </c>
      <c r="M236" s="1">
        <v>-60000</v>
      </c>
      <c r="N236" s="1"/>
      <c r="O236" s="1">
        <v>-85073</v>
      </c>
      <c r="P236" s="1">
        <v>-54106</v>
      </c>
      <c r="Q236" s="1">
        <v>-90000</v>
      </c>
      <c r="R236" s="1">
        <v>-90000</v>
      </c>
      <c r="S236" s="1">
        <v>-85000</v>
      </c>
      <c r="T236" s="1">
        <v>-85000</v>
      </c>
      <c r="U236" s="1">
        <v>-110000</v>
      </c>
      <c r="V236" s="1">
        <v>-76364</v>
      </c>
      <c r="W236" s="1">
        <v>-110000</v>
      </c>
    </row>
    <row r="237" spans="1:23" x14ac:dyDescent="0.4">
      <c r="A237" s="4">
        <v>400</v>
      </c>
      <c r="B237" t="s">
        <v>296</v>
      </c>
      <c r="C237" t="s">
        <v>26</v>
      </c>
      <c r="D237" s="4">
        <v>17500</v>
      </c>
      <c r="E237" t="s">
        <v>306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3" x14ac:dyDescent="0.4">
      <c r="A238" t="s">
        <v>295</v>
      </c>
      <c r="B238" t="s">
        <v>296</v>
      </c>
      <c r="C238" t="s">
        <v>26</v>
      </c>
      <c r="D238" t="s">
        <v>211</v>
      </c>
      <c r="E238" t="s">
        <v>212</v>
      </c>
      <c r="L238" s="1">
        <v>0</v>
      </c>
      <c r="M238" s="1">
        <v>0</v>
      </c>
      <c r="N238" s="1"/>
      <c r="O238" s="1">
        <v>-1581</v>
      </c>
      <c r="P238" s="1">
        <v>-1360</v>
      </c>
      <c r="Q238" s="1"/>
      <c r="R238" s="1">
        <v>0</v>
      </c>
      <c r="S238" s="1"/>
      <c r="T238" s="1"/>
      <c r="V238" s="1">
        <v>-799</v>
      </c>
    </row>
    <row r="239" spans="1:23" x14ac:dyDescent="0.4">
      <c r="A239" t="s">
        <v>295</v>
      </c>
      <c r="B239" t="s">
        <v>296</v>
      </c>
      <c r="C239" t="s">
        <v>26</v>
      </c>
      <c r="D239" t="s">
        <v>213</v>
      </c>
      <c r="E239" t="s">
        <v>91</v>
      </c>
      <c r="L239" s="1">
        <v>-75000</v>
      </c>
      <c r="M239" s="1">
        <v>-75000</v>
      </c>
      <c r="N239" s="1"/>
      <c r="O239" s="1">
        <v>0</v>
      </c>
      <c r="P239" s="1"/>
      <c r="Q239" s="1"/>
      <c r="R239" s="1"/>
    </row>
    <row r="240" spans="1:23" x14ac:dyDescent="0.4">
      <c r="A240" t="s">
        <v>295</v>
      </c>
      <c r="B240" t="s">
        <v>296</v>
      </c>
      <c r="C240" t="s">
        <v>26</v>
      </c>
      <c r="D240" t="s">
        <v>216</v>
      </c>
      <c r="E240" t="s">
        <v>61</v>
      </c>
      <c r="L240" s="1">
        <v>-3300000</v>
      </c>
      <c r="M240" s="1">
        <v>-3300000</v>
      </c>
      <c r="N240" s="1"/>
      <c r="O240" s="1">
        <v>-3451782</v>
      </c>
      <c r="P240" s="1">
        <v>-3366000</v>
      </c>
      <c r="Q240" s="1">
        <v>-3679150</v>
      </c>
      <c r="R240" s="1">
        <v>-3452000</v>
      </c>
      <c r="S240" s="1">
        <v>-3640700</v>
      </c>
      <c r="T240" s="1">
        <v>-3508000</v>
      </c>
      <c r="U240" s="1">
        <v>-3516000</v>
      </c>
      <c r="V240" s="1"/>
      <c r="W240" s="1">
        <v>-3516000</v>
      </c>
    </row>
    <row r="241" spans="1:23" x14ac:dyDescent="0.4">
      <c r="A241" t="s">
        <v>295</v>
      </c>
      <c r="B241" t="s">
        <v>296</v>
      </c>
      <c r="C241" t="s">
        <v>26</v>
      </c>
      <c r="D241" t="s">
        <v>307</v>
      </c>
      <c r="E241" t="s">
        <v>308</v>
      </c>
      <c r="L241" s="1">
        <v>0</v>
      </c>
      <c r="M241" s="1">
        <v>0</v>
      </c>
      <c r="N241" s="1"/>
      <c r="O241" s="1">
        <v>-1680</v>
      </c>
      <c r="P241" s="1"/>
      <c r="Q241" s="1"/>
      <c r="R241" s="1"/>
    </row>
    <row r="242" spans="1:23" x14ac:dyDescent="0.4">
      <c r="A242" t="s">
        <v>295</v>
      </c>
      <c r="B242" t="s">
        <v>296</v>
      </c>
      <c r="C242" t="s">
        <v>26</v>
      </c>
      <c r="D242" s="4">
        <v>19400</v>
      </c>
      <c r="E242" t="s">
        <v>309</v>
      </c>
      <c r="L242" s="1">
        <v>-65000</v>
      </c>
      <c r="M242" s="1">
        <v>-65000</v>
      </c>
      <c r="N242" s="1"/>
      <c r="O242" s="1">
        <v>0</v>
      </c>
      <c r="P242" s="1"/>
      <c r="Q242" s="1">
        <v>-120000</v>
      </c>
      <c r="R242" s="33">
        <v>-120000</v>
      </c>
      <c r="S242" s="1"/>
      <c r="T242" s="1"/>
    </row>
    <row r="243" spans="1:23" x14ac:dyDescent="0.4">
      <c r="A243" s="4">
        <v>400</v>
      </c>
      <c r="B243" t="s">
        <v>296</v>
      </c>
      <c r="C243" t="s">
        <v>26</v>
      </c>
      <c r="D243" s="4">
        <v>19500</v>
      </c>
      <c r="E243" t="s">
        <v>63</v>
      </c>
      <c r="L243" s="1"/>
      <c r="M243" s="1"/>
      <c r="N243" s="1"/>
      <c r="O243" s="1"/>
      <c r="P243" s="1">
        <v>-120000</v>
      </c>
      <c r="Q243" s="1"/>
      <c r="R243" s="28">
        <v>-36000</v>
      </c>
      <c r="U243" s="8">
        <v>-496000</v>
      </c>
      <c r="V243" s="8"/>
      <c r="W243">
        <v>-496000</v>
      </c>
    </row>
    <row r="244" spans="1:23" x14ac:dyDescent="0.4">
      <c r="A244" s="6">
        <v>400</v>
      </c>
      <c r="B244" s="2" t="s">
        <v>108</v>
      </c>
      <c r="C244" s="2"/>
      <c r="D244" s="2"/>
      <c r="E244" s="2"/>
      <c r="F244" s="2"/>
      <c r="G244" s="2"/>
      <c r="H244" s="2"/>
      <c r="I244" s="2"/>
      <c r="J244" s="2"/>
      <c r="K244" s="2"/>
      <c r="L244" s="3">
        <f>SUM(L233:L242)</f>
        <v>-3510000</v>
      </c>
      <c r="M244" s="3">
        <f>SUM(M233:M242)</f>
        <v>-3510000</v>
      </c>
      <c r="N244" s="3"/>
      <c r="O244" s="3">
        <f>SUM(O233:O242)</f>
        <v>-3598149</v>
      </c>
      <c r="P244" s="3">
        <f t="shared" ref="P244:W244" si="7">SUM(P233:P243)</f>
        <v>-3585417</v>
      </c>
      <c r="Q244" s="3">
        <f t="shared" si="7"/>
        <v>-3927150</v>
      </c>
      <c r="R244" s="3">
        <f t="shared" si="7"/>
        <v>-3736000</v>
      </c>
      <c r="S244" s="3">
        <f t="shared" si="7"/>
        <v>-3781350</v>
      </c>
      <c r="T244" s="3">
        <f t="shared" si="7"/>
        <v>-3797600</v>
      </c>
      <c r="U244" s="3">
        <f t="shared" si="7"/>
        <v>-4362000</v>
      </c>
      <c r="V244" s="3">
        <f t="shared" si="7"/>
        <v>-227377</v>
      </c>
      <c r="W244" s="3">
        <f t="shared" si="7"/>
        <v>-4362000</v>
      </c>
    </row>
    <row r="245" spans="1:23" x14ac:dyDescent="0.4">
      <c r="A245" s="4"/>
      <c r="L245" s="1"/>
      <c r="M245" s="1"/>
      <c r="N245" s="1"/>
      <c r="O245" s="1"/>
      <c r="P245" s="1"/>
      <c r="Q245" s="1"/>
      <c r="R245" s="1"/>
    </row>
    <row r="246" spans="1:23" x14ac:dyDescent="0.4">
      <c r="A246" s="4"/>
      <c r="L246" s="1"/>
      <c r="M246" s="1"/>
      <c r="N246" s="1"/>
      <c r="O246" s="1"/>
      <c r="P246" s="1"/>
      <c r="Q246" s="1"/>
      <c r="R246" s="1"/>
    </row>
    <row r="247" spans="1:23" x14ac:dyDescent="0.4">
      <c r="A247" t="s">
        <v>310</v>
      </c>
      <c r="B247" t="s">
        <v>311</v>
      </c>
      <c r="C247" t="s">
        <v>14</v>
      </c>
      <c r="D247" t="s">
        <v>132</v>
      </c>
      <c r="E247" t="s">
        <v>133</v>
      </c>
      <c r="L247" s="1">
        <v>57000</v>
      </c>
      <c r="M247" s="1">
        <v>57000</v>
      </c>
      <c r="N247" s="1"/>
      <c r="O247" s="1">
        <v>53247</v>
      </c>
      <c r="P247" s="1">
        <v>57276</v>
      </c>
      <c r="Q247" s="1">
        <v>70200</v>
      </c>
      <c r="R247" s="1">
        <v>70200</v>
      </c>
      <c r="S247" s="1">
        <v>66000</v>
      </c>
      <c r="T247" s="1">
        <v>66000</v>
      </c>
      <c r="U247" s="1"/>
      <c r="V247" s="1">
        <v>42083</v>
      </c>
      <c r="W247" s="1">
        <v>69000</v>
      </c>
    </row>
    <row r="248" spans="1:23" x14ac:dyDescent="0.4">
      <c r="A248" s="4">
        <v>401</v>
      </c>
      <c r="B248" t="s">
        <v>311</v>
      </c>
      <c r="C248" t="s">
        <v>14</v>
      </c>
      <c r="D248" s="4">
        <v>10500</v>
      </c>
      <c r="E248" t="s">
        <v>312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3" x14ac:dyDescent="0.4">
      <c r="A249" t="s">
        <v>310</v>
      </c>
      <c r="B249" t="s">
        <v>311</v>
      </c>
      <c r="C249" t="s">
        <v>14</v>
      </c>
      <c r="D249" t="s">
        <v>143</v>
      </c>
      <c r="E249" t="s">
        <v>144</v>
      </c>
      <c r="L249" s="1">
        <v>9000</v>
      </c>
      <c r="M249" s="1">
        <v>9000</v>
      </c>
      <c r="N249" s="1"/>
      <c r="O249" s="1">
        <v>7733</v>
      </c>
      <c r="P249" s="1">
        <v>8662</v>
      </c>
      <c r="Q249" s="1">
        <v>12000</v>
      </c>
      <c r="R249" s="1">
        <v>12000</v>
      </c>
      <c r="S249" s="1">
        <v>12000</v>
      </c>
      <c r="T249" s="1">
        <v>12000</v>
      </c>
      <c r="U249" s="1"/>
      <c r="V249" s="1">
        <v>9883</v>
      </c>
      <c r="W249" s="1">
        <v>11500</v>
      </c>
    </row>
    <row r="250" spans="1:23" x14ac:dyDescent="0.4">
      <c r="A250" t="s">
        <v>310</v>
      </c>
      <c r="B250" t="s">
        <v>311</v>
      </c>
      <c r="C250" t="s">
        <v>14</v>
      </c>
      <c r="D250" t="s">
        <v>145</v>
      </c>
      <c r="E250" t="s">
        <v>146</v>
      </c>
      <c r="L250" s="1">
        <v>9000</v>
      </c>
      <c r="M250" s="1">
        <v>9000</v>
      </c>
      <c r="N250" s="1"/>
      <c r="O250" s="1">
        <v>0</v>
      </c>
      <c r="P250" s="1">
        <v>11.94</v>
      </c>
      <c r="Q250" s="1"/>
      <c r="R250" s="1"/>
    </row>
    <row r="251" spans="1:23" x14ac:dyDescent="0.4">
      <c r="A251" t="s">
        <v>310</v>
      </c>
      <c r="B251" t="s">
        <v>311</v>
      </c>
      <c r="C251" t="s">
        <v>14</v>
      </c>
      <c r="D251" t="s">
        <v>147</v>
      </c>
      <c r="E251" t="s">
        <v>148</v>
      </c>
      <c r="L251" s="1">
        <v>0</v>
      </c>
      <c r="M251" s="1">
        <v>0</v>
      </c>
      <c r="N251" s="1"/>
      <c r="O251" s="1">
        <v>8401</v>
      </c>
      <c r="P251" s="1">
        <v>9299</v>
      </c>
      <c r="Q251" s="1">
        <v>11900</v>
      </c>
      <c r="R251" s="1">
        <v>11900</v>
      </c>
      <c r="S251" s="1">
        <v>11000</v>
      </c>
      <c r="T251" s="1">
        <v>11000</v>
      </c>
      <c r="U251" s="1"/>
      <c r="V251" s="1">
        <v>7327</v>
      </c>
      <c r="W251" s="1">
        <v>11500</v>
      </c>
    </row>
    <row r="252" spans="1:23" x14ac:dyDescent="0.4">
      <c r="A252" t="s">
        <v>310</v>
      </c>
      <c r="B252" t="s">
        <v>311</v>
      </c>
      <c r="C252" t="s">
        <v>14</v>
      </c>
      <c r="D252" t="s">
        <v>149</v>
      </c>
      <c r="E252" t="s">
        <v>150</v>
      </c>
      <c r="L252" s="1">
        <v>5000</v>
      </c>
      <c r="M252" s="1">
        <v>5000</v>
      </c>
      <c r="N252" s="1"/>
      <c r="O252" s="1">
        <v>0</v>
      </c>
      <c r="P252" s="1"/>
      <c r="Q252" s="1"/>
      <c r="R252" s="1">
        <v>0</v>
      </c>
      <c r="S252" s="1"/>
      <c r="T252" s="1"/>
    </row>
    <row r="253" spans="1:23" x14ac:dyDescent="0.4">
      <c r="A253" t="s">
        <v>310</v>
      </c>
      <c r="B253" t="s">
        <v>311</v>
      </c>
      <c r="C253" t="s">
        <v>14</v>
      </c>
      <c r="D253" t="s">
        <v>151</v>
      </c>
      <c r="E253" t="s">
        <v>152</v>
      </c>
      <c r="L253" s="1">
        <v>20000</v>
      </c>
      <c r="M253" s="1">
        <v>20000</v>
      </c>
      <c r="N253" s="1"/>
      <c r="O253" s="1">
        <v>0</v>
      </c>
      <c r="P253" s="1"/>
      <c r="Q253" s="1"/>
      <c r="R253" s="1">
        <v>0</v>
      </c>
    </row>
    <row r="254" spans="1:23" x14ac:dyDescent="0.4">
      <c r="A254" t="s">
        <v>310</v>
      </c>
      <c r="B254" t="s">
        <v>311</v>
      </c>
      <c r="C254" t="s">
        <v>14</v>
      </c>
      <c r="D254" t="s">
        <v>153</v>
      </c>
      <c r="E254" t="s">
        <v>154</v>
      </c>
      <c r="L254" s="1">
        <v>10000</v>
      </c>
      <c r="M254" s="1">
        <v>10000</v>
      </c>
      <c r="N254" s="1"/>
      <c r="O254" s="1">
        <v>0</v>
      </c>
      <c r="P254" s="1">
        <v>42</v>
      </c>
      <c r="Q254" s="1"/>
      <c r="R254" s="1">
        <v>0</v>
      </c>
    </row>
    <row r="255" spans="1:23" x14ac:dyDescent="0.4">
      <c r="A255" s="4">
        <v>401</v>
      </c>
      <c r="B255" t="s">
        <v>311</v>
      </c>
      <c r="C255" t="s">
        <v>14</v>
      </c>
      <c r="D255" s="4">
        <v>11204</v>
      </c>
      <c r="E255" t="s">
        <v>313</v>
      </c>
      <c r="L255" s="1"/>
      <c r="M255" s="1"/>
      <c r="N255" s="1"/>
      <c r="O255" s="1"/>
      <c r="P255" s="1"/>
      <c r="Q255" s="1"/>
      <c r="R255" s="1"/>
    </row>
    <row r="256" spans="1:23" x14ac:dyDescent="0.4">
      <c r="A256" s="4">
        <v>401</v>
      </c>
      <c r="B256" t="s">
        <v>311</v>
      </c>
      <c r="C256" t="s">
        <v>14</v>
      </c>
      <c r="D256" s="4">
        <v>11206</v>
      </c>
      <c r="E256" t="s">
        <v>314</v>
      </c>
      <c r="L256" s="1"/>
      <c r="M256" s="1"/>
      <c r="N256" s="1"/>
      <c r="O256" s="1"/>
      <c r="P256" s="1">
        <v>1756</v>
      </c>
      <c r="Q256" s="1"/>
      <c r="R256" s="1"/>
      <c r="U256" s="1"/>
      <c r="V256" s="1">
        <v>232</v>
      </c>
      <c r="W256">
        <v>500</v>
      </c>
    </row>
    <row r="257" spans="1:23" x14ac:dyDescent="0.4">
      <c r="A257" t="s">
        <v>310</v>
      </c>
      <c r="B257" t="s">
        <v>311</v>
      </c>
      <c r="C257" t="s">
        <v>14</v>
      </c>
      <c r="D257" t="s">
        <v>164</v>
      </c>
      <c r="E257" t="s">
        <v>165</v>
      </c>
      <c r="L257" s="1">
        <v>1000</v>
      </c>
      <c r="M257" s="1">
        <v>1000</v>
      </c>
      <c r="N257" s="1"/>
      <c r="O257" s="1">
        <v>0</v>
      </c>
      <c r="P257" s="1"/>
      <c r="Q257" s="1"/>
      <c r="R257" s="1">
        <v>0</v>
      </c>
    </row>
    <row r="258" spans="1:23" x14ac:dyDescent="0.4">
      <c r="A258" t="s">
        <v>310</v>
      </c>
      <c r="B258" t="s">
        <v>311</v>
      </c>
      <c r="C258" t="s">
        <v>14</v>
      </c>
      <c r="D258" t="s">
        <v>169</v>
      </c>
      <c r="E258" t="s">
        <v>170</v>
      </c>
      <c r="L258" s="1">
        <v>50000</v>
      </c>
      <c r="M258" s="1">
        <v>50000</v>
      </c>
      <c r="N258" s="1"/>
      <c r="O258" s="1">
        <v>0</v>
      </c>
      <c r="P258" s="1">
        <v>3000</v>
      </c>
      <c r="Q258" s="1"/>
      <c r="R258" s="1">
        <v>0</v>
      </c>
      <c r="U258" s="1"/>
      <c r="V258" s="1"/>
    </row>
    <row r="259" spans="1:23" x14ac:dyDescent="0.4">
      <c r="A259" t="s">
        <v>310</v>
      </c>
      <c r="B259" t="s">
        <v>311</v>
      </c>
      <c r="C259" t="s">
        <v>14</v>
      </c>
      <c r="D259" t="s">
        <v>300</v>
      </c>
      <c r="E259" t="s">
        <v>301</v>
      </c>
      <c r="L259" s="1">
        <v>10000</v>
      </c>
      <c r="M259" s="1">
        <v>10000</v>
      </c>
      <c r="N259" s="1"/>
      <c r="O259" s="1">
        <v>0</v>
      </c>
      <c r="P259" s="1"/>
      <c r="Q259" s="1"/>
      <c r="R259" s="1">
        <v>0</v>
      </c>
    </row>
    <row r="260" spans="1:23" x14ac:dyDescent="0.4">
      <c r="A260" t="s">
        <v>310</v>
      </c>
      <c r="B260" t="s">
        <v>311</v>
      </c>
      <c r="C260" t="s">
        <v>14</v>
      </c>
      <c r="D260" t="s">
        <v>171</v>
      </c>
      <c r="E260" t="s">
        <v>172</v>
      </c>
      <c r="L260" s="1">
        <v>5000</v>
      </c>
      <c r="M260" s="1">
        <v>5000</v>
      </c>
      <c r="N260" s="1"/>
      <c r="O260" s="1">
        <v>0</v>
      </c>
      <c r="P260" s="1"/>
      <c r="Q260" s="1"/>
      <c r="R260" s="1">
        <v>0</v>
      </c>
    </row>
    <row r="261" spans="1:23" x14ac:dyDescent="0.4">
      <c r="A261" t="s">
        <v>310</v>
      </c>
      <c r="B261" t="s">
        <v>311</v>
      </c>
      <c r="C261" t="s">
        <v>14</v>
      </c>
      <c r="D261" t="s">
        <v>233</v>
      </c>
      <c r="E261" t="s">
        <v>234</v>
      </c>
      <c r="L261" s="1">
        <v>10000</v>
      </c>
      <c r="M261" s="1">
        <v>10000</v>
      </c>
      <c r="N261" s="1"/>
      <c r="O261" s="1">
        <v>0</v>
      </c>
      <c r="P261" s="1"/>
      <c r="Q261" s="1"/>
      <c r="R261" s="1">
        <v>0</v>
      </c>
    </row>
    <row r="262" spans="1:23" x14ac:dyDescent="0.4">
      <c r="A262" s="4">
        <v>401</v>
      </c>
      <c r="B262" t="s">
        <v>311</v>
      </c>
      <c r="C262" t="s">
        <v>14</v>
      </c>
      <c r="D262" s="4">
        <v>11700</v>
      </c>
      <c r="E262" t="s">
        <v>315</v>
      </c>
      <c r="L262" s="1"/>
      <c r="M262" s="1"/>
      <c r="N262" s="1"/>
      <c r="O262" s="1"/>
      <c r="P262" s="1"/>
      <c r="Q262" s="1"/>
      <c r="R262" s="1"/>
    </row>
    <row r="263" spans="1:23" x14ac:dyDescent="0.4">
      <c r="A263" s="4">
        <v>401</v>
      </c>
      <c r="B263" t="s">
        <v>311</v>
      </c>
      <c r="C263" t="s">
        <v>14</v>
      </c>
      <c r="D263" s="4">
        <v>11850</v>
      </c>
      <c r="E263" t="s">
        <v>177</v>
      </c>
      <c r="L263" s="1"/>
      <c r="M263" s="1"/>
      <c r="N263" s="1"/>
      <c r="O263" s="1"/>
      <c r="P263" s="1">
        <v>-11.94</v>
      </c>
      <c r="Q263" s="1"/>
      <c r="R263" s="1"/>
    </row>
    <row r="264" spans="1:23" x14ac:dyDescent="0.4">
      <c r="A264" t="s">
        <v>310</v>
      </c>
      <c r="B264" t="s">
        <v>311</v>
      </c>
      <c r="C264" t="s">
        <v>14</v>
      </c>
      <c r="D264" t="s">
        <v>237</v>
      </c>
      <c r="E264" t="s">
        <v>238</v>
      </c>
      <c r="L264" s="1">
        <v>5000</v>
      </c>
      <c r="M264" s="1">
        <v>5000</v>
      </c>
      <c r="N264" s="1"/>
      <c r="O264" s="1">
        <v>0</v>
      </c>
      <c r="P264" s="1"/>
      <c r="Q264" s="1"/>
      <c r="R264" s="1">
        <v>0</v>
      </c>
    </row>
    <row r="265" spans="1:23" x14ac:dyDescent="0.4">
      <c r="A265" t="s">
        <v>310</v>
      </c>
      <c r="B265" t="s">
        <v>311</v>
      </c>
      <c r="C265" t="s">
        <v>14</v>
      </c>
      <c r="D265" t="s">
        <v>195</v>
      </c>
      <c r="E265" t="s">
        <v>11</v>
      </c>
      <c r="L265" s="1">
        <v>20000</v>
      </c>
      <c r="M265" s="1"/>
      <c r="N265" s="1"/>
      <c r="O265" s="1">
        <v>0</v>
      </c>
      <c r="P265" s="1"/>
      <c r="Q265" s="1"/>
      <c r="R265" s="1">
        <v>0</v>
      </c>
    </row>
    <row r="266" spans="1:23" x14ac:dyDescent="0.4">
      <c r="A266" s="6">
        <v>401</v>
      </c>
      <c r="B266" s="2" t="s">
        <v>14</v>
      </c>
      <c r="C266" s="2"/>
      <c r="D266" s="2"/>
      <c r="E266" s="2"/>
      <c r="F266" s="2"/>
      <c r="G266" s="2"/>
      <c r="H266" s="2"/>
      <c r="I266" s="2"/>
      <c r="J266" s="2"/>
      <c r="K266" s="2"/>
      <c r="L266" s="3">
        <f>SUM(L247:L265)</f>
        <v>211000</v>
      </c>
      <c r="M266" s="3">
        <f>SUM(M247:M265)</f>
        <v>191000</v>
      </c>
      <c r="N266" s="3"/>
      <c r="O266" s="3">
        <f t="shared" ref="O266:W266" si="8">SUM(O247:O265)</f>
        <v>69381</v>
      </c>
      <c r="P266" s="3">
        <f t="shared" si="8"/>
        <v>80035</v>
      </c>
      <c r="Q266" s="3">
        <f t="shared" si="8"/>
        <v>94100</v>
      </c>
      <c r="R266" s="3">
        <f t="shared" si="8"/>
        <v>94100</v>
      </c>
      <c r="S266" s="3">
        <f t="shared" si="8"/>
        <v>89000</v>
      </c>
      <c r="T266" s="3">
        <f t="shared" si="8"/>
        <v>89000</v>
      </c>
      <c r="U266" s="3">
        <f t="shared" si="8"/>
        <v>0</v>
      </c>
      <c r="V266" s="3">
        <f t="shared" si="8"/>
        <v>59525</v>
      </c>
      <c r="W266" s="3">
        <f t="shared" si="8"/>
        <v>92500</v>
      </c>
    </row>
    <row r="267" spans="1:23" x14ac:dyDescent="0.4">
      <c r="L267" s="1"/>
      <c r="M267" s="1"/>
      <c r="N267" s="1"/>
      <c r="O267" s="1"/>
      <c r="P267" s="1"/>
      <c r="Q267" s="1"/>
    </row>
    <row r="268" spans="1:23" x14ac:dyDescent="0.4">
      <c r="A268" t="s">
        <v>310</v>
      </c>
      <c r="B268" t="s">
        <v>311</v>
      </c>
      <c r="C268" t="s">
        <v>26</v>
      </c>
      <c r="D268" t="s">
        <v>207</v>
      </c>
      <c r="E268" t="s">
        <v>208</v>
      </c>
      <c r="L268" s="1">
        <v>-20000</v>
      </c>
      <c r="M268" s="1">
        <v>-20000</v>
      </c>
      <c r="N268" s="1"/>
      <c r="O268" s="1">
        <v>0</v>
      </c>
      <c r="P268" s="1"/>
      <c r="Q268" s="1"/>
      <c r="R268" s="1"/>
    </row>
    <row r="269" spans="1:23" x14ac:dyDescent="0.4">
      <c r="A269" t="s">
        <v>310</v>
      </c>
      <c r="B269" t="s">
        <v>311</v>
      </c>
      <c r="C269" t="s">
        <v>26</v>
      </c>
      <c r="D269" s="4">
        <v>17500</v>
      </c>
      <c r="E269" t="s">
        <v>316</v>
      </c>
      <c r="L269" s="1">
        <v>-116000</v>
      </c>
      <c r="M269" s="1">
        <v>-116000</v>
      </c>
      <c r="N269" s="1"/>
      <c r="O269" s="1">
        <v>0</v>
      </c>
      <c r="P269" s="1"/>
      <c r="Q269" s="1"/>
      <c r="R269" s="1"/>
    </row>
    <row r="270" spans="1:23" x14ac:dyDescent="0.4">
      <c r="A270" s="4">
        <v>401</v>
      </c>
      <c r="B270" t="s">
        <v>311</v>
      </c>
      <c r="C270" t="s">
        <v>26</v>
      </c>
      <c r="D270" s="4">
        <v>17700</v>
      </c>
      <c r="E270" t="s">
        <v>317</v>
      </c>
      <c r="L270" s="1"/>
      <c r="M270" s="1"/>
      <c r="N270" s="1"/>
      <c r="O270" s="1"/>
      <c r="P270" s="1">
        <v>-18582</v>
      </c>
      <c r="Q270" s="1"/>
      <c r="R270" s="1"/>
    </row>
    <row r="271" spans="1:23" x14ac:dyDescent="0.4">
      <c r="A271" t="s">
        <v>310</v>
      </c>
      <c r="B271" t="s">
        <v>311</v>
      </c>
      <c r="C271" t="s">
        <v>26</v>
      </c>
      <c r="D271" t="s">
        <v>216</v>
      </c>
      <c r="E271" t="s">
        <v>61</v>
      </c>
      <c r="L271" s="1">
        <v>-75000</v>
      </c>
      <c r="M271" s="1">
        <v>-75000</v>
      </c>
      <c r="N271" s="1"/>
      <c r="O271" s="1">
        <v>-75000</v>
      </c>
      <c r="P271" s="1"/>
      <c r="Q271" s="1">
        <v>-77000</v>
      </c>
      <c r="R271" s="1">
        <v>-77000</v>
      </c>
      <c r="S271" s="1">
        <v>-89000</v>
      </c>
      <c r="T271" s="1">
        <v>-89000</v>
      </c>
      <c r="U271" s="1"/>
      <c r="V271" s="1"/>
      <c r="W271" s="1">
        <v>-92500</v>
      </c>
    </row>
    <row r="272" spans="1:23" x14ac:dyDescent="0.4">
      <c r="A272" s="4">
        <v>401</v>
      </c>
      <c r="B272" t="s">
        <v>311</v>
      </c>
      <c r="C272" t="s">
        <v>26</v>
      </c>
      <c r="D272" s="4">
        <v>19400</v>
      </c>
      <c r="E272" t="s">
        <v>293</v>
      </c>
      <c r="L272" s="1"/>
      <c r="M272" s="1"/>
      <c r="N272" s="1"/>
      <c r="O272" s="1"/>
      <c r="P272" s="1"/>
      <c r="Q272" s="1">
        <v>-17100</v>
      </c>
      <c r="R272" s="34">
        <v>-17100</v>
      </c>
    </row>
    <row r="273" spans="1:25" x14ac:dyDescent="0.4">
      <c r="A273" s="6">
        <v>401</v>
      </c>
      <c r="B273" s="2" t="s">
        <v>108</v>
      </c>
      <c r="C273" s="2"/>
      <c r="D273" s="2"/>
      <c r="E273" s="2"/>
      <c r="F273" s="2"/>
      <c r="G273" s="2"/>
      <c r="H273" s="2"/>
      <c r="I273" s="2"/>
      <c r="J273" s="2"/>
      <c r="K273" s="2"/>
      <c r="L273" s="3">
        <f>SUM(L268:L271)</f>
        <v>-211000</v>
      </c>
      <c r="M273" s="3">
        <f>SUM(M268:M271)</f>
        <v>-211000</v>
      </c>
      <c r="N273" s="3"/>
      <c r="O273" s="3">
        <f>SUM(O268:O271)</f>
        <v>-75000</v>
      </c>
      <c r="P273" s="3">
        <f t="shared" ref="P273:W273" si="9">SUM(P267:P272)</f>
        <v>-18582</v>
      </c>
      <c r="Q273" s="3">
        <f t="shared" si="9"/>
        <v>-94100</v>
      </c>
      <c r="R273" s="3">
        <f t="shared" si="9"/>
        <v>-94100</v>
      </c>
      <c r="S273" s="3">
        <f t="shared" si="9"/>
        <v>-89000</v>
      </c>
      <c r="T273" s="3">
        <f t="shared" si="9"/>
        <v>-89000</v>
      </c>
      <c r="U273" s="3">
        <f t="shared" si="9"/>
        <v>0</v>
      </c>
      <c r="V273" s="3">
        <f t="shared" si="9"/>
        <v>0</v>
      </c>
      <c r="W273" s="3">
        <f t="shared" si="9"/>
        <v>-92500</v>
      </c>
    </row>
    <row r="274" spans="1:25" x14ac:dyDescent="0.4">
      <c r="L274" s="1"/>
      <c r="M274" s="1"/>
      <c r="N274" s="1"/>
      <c r="O274" s="1"/>
      <c r="P274" s="1"/>
      <c r="Q274" s="1"/>
    </row>
    <row r="275" spans="1:25" x14ac:dyDescent="0.4">
      <c r="L275" s="1"/>
      <c r="M275" s="1"/>
      <c r="N275" s="1"/>
      <c r="O275" s="1"/>
      <c r="P275" s="1"/>
      <c r="Q275" s="1"/>
      <c r="T275" s="1"/>
      <c r="U275" s="1"/>
      <c r="V275" s="1"/>
    </row>
    <row r="276" spans="1:25" x14ac:dyDescent="0.4">
      <c r="A276" s="4">
        <v>402</v>
      </c>
      <c r="B276" t="s">
        <v>318</v>
      </c>
      <c r="C276" t="s">
        <v>14</v>
      </c>
      <c r="D276" t="s">
        <v>132</v>
      </c>
      <c r="E276" t="s">
        <v>133</v>
      </c>
      <c r="L276" s="1">
        <v>1369000</v>
      </c>
      <c r="M276" s="1">
        <v>1369000</v>
      </c>
      <c r="N276" s="1"/>
      <c r="O276" s="1">
        <v>1200623</v>
      </c>
      <c r="P276" s="37">
        <v>-408890</v>
      </c>
      <c r="Q276" s="1"/>
      <c r="R276" s="1"/>
      <c r="T276" s="1"/>
      <c r="U276" s="1"/>
      <c r="V276" s="1"/>
    </row>
    <row r="277" spans="1:25" x14ac:dyDescent="0.4">
      <c r="A277" s="4">
        <v>402</v>
      </c>
      <c r="B277" t="s">
        <v>318</v>
      </c>
      <c r="C277" t="s">
        <v>14</v>
      </c>
      <c r="D277" s="4">
        <v>10101</v>
      </c>
      <c r="E277" t="s">
        <v>136</v>
      </c>
      <c r="L277" s="1">
        <v>0</v>
      </c>
      <c r="M277" s="1">
        <v>0</v>
      </c>
      <c r="N277" s="1"/>
      <c r="O277" s="1">
        <v>15864</v>
      </c>
      <c r="P277" s="37">
        <v>-599</v>
      </c>
      <c r="Q277" s="1"/>
      <c r="R277" s="1"/>
      <c r="T277" s="1"/>
      <c r="U277" s="1"/>
      <c r="V277" s="1">
        <v>841</v>
      </c>
    </row>
    <row r="278" spans="1:25" x14ac:dyDescent="0.4">
      <c r="A278" s="4">
        <v>402</v>
      </c>
      <c r="B278" t="s">
        <v>318</v>
      </c>
      <c r="C278" t="s">
        <v>14</v>
      </c>
      <c r="D278" s="4">
        <v>10200</v>
      </c>
      <c r="E278" t="s">
        <v>227</v>
      </c>
      <c r="L278" s="1"/>
      <c r="M278" s="1"/>
      <c r="N278" s="1"/>
      <c r="O278" s="1"/>
      <c r="P278" s="37"/>
      <c r="Q278" s="1"/>
      <c r="R278" s="1"/>
      <c r="T278" s="1">
        <v>3000</v>
      </c>
      <c r="U278" s="1"/>
      <c r="V278" s="1">
        <v>7774</v>
      </c>
    </row>
    <row r="279" spans="1:25" x14ac:dyDescent="0.4">
      <c r="A279" s="4">
        <v>402</v>
      </c>
      <c r="B279" t="s">
        <v>318</v>
      </c>
      <c r="C279" t="s">
        <v>14</v>
      </c>
      <c r="D279" s="4">
        <v>10400</v>
      </c>
      <c r="E279" t="s">
        <v>229</v>
      </c>
      <c r="L279" s="1"/>
      <c r="M279" s="1"/>
      <c r="N279" s="1"/>
      <c r="O279" s="1"/>
      <c r="P279" s="37"/>
      <c r="Q279" s="1"/>
      <c r="R279" s="1"/>
      <c r="T279" s="1"/>
      <c r="U279" s="1"/>
      <c r="V279" s="1">
        <v>16759</v>
      </c>
    </row>
    <row r="280" spans="1:25" x14ac:dyDescent="0.4">
      <c r="A280" s="4">
        <v>402</v>
      </c>
      <c r="B280" t="s">
        <v>318</v>
      </c>
      <c r="C280" t="s">
        <v>14</v>
      </c>
      <c r="D280" s="4">
        <v>10500</v>
      </c>
      <c r="E280" t="s">
        <v>312</v>
      </c>
      <c r="L280" s="1">
        <v>8000</v>
      </c>
      <c r="M280" s="1">
        <v>8000</v>
      </c>
      <c r="N280" s="1"/>
      <c r="O280" s="1">
        <v>32750</v>
      </c>
      <c r="P280" s="37">
        <v>8500</v>
      </c>
      <c r="Q280" s="1"/>
      <c r="R280" s="1"/>
      <c r="T280" s="1">
        <v>14000</v>
      </c>
      <c r="U280" s="1">
        <v>15000</v>
      </c>
      <c r="V280" s="1">
        <v>3367</v>
      </c>
      <c r="W280" s="1">
        <v>15000</v>
      </c>
    </row>
    <row r="281" spans="1:25" x14ac:dyDescent="0.4">
      <c r="A281" s="4">
        <v>402</v>
      </c>
      <c r="B281" t="s">
        <v>318</v>
      </c>
      <c r="C281" t="s">
        <v>14</v>
      </c>
      <c r="D281" t="s">
        <v>143</v>
      </c>
      <c r="E281" t="s">
        <v>144</v>
      </c>
      <c r="L281" s="1">
        <v>255000</v>
      </c>
      <c r="M281" s="1">
        <v>255000</v>
      </c>
      <c r="N281" s="1"/>
      <c r="O281" s="1">
        <v>176987</v>
      </c>
      <c r="P281" s="37">
        <v>-105884</v>
      </c>
      <c r="Q281" s="1"/>
      <c r="R281" s="1"/>
      <c r="T281" s="1"/>
      <c r="U281" s="1"/>
      <c r="V281" s="1">
        <v>1555</v>
      </c>
    </row>
    <row r="282" spans="1:25" x14ac:dyDescent="0.4">
      <c r="A282" s="4">
        <v>402</v>
      </c>
      <c r="B282" t="s">
        <v>318</v>
      </c>
      <c r="C282" t="s">
        <v>14</v>
      </c>
      <c r="D282" t="s">
        <v>145</v>
      </c>
      <c r="E282" t="s">
        <v>146</v>
      </c>
      <c r="L282" s="1">
        <v>3000</v>
      </c>
      <c r="M282" s="1">
        <v>3000</v>
      </c>
      <c r="N282" s="1"/>
      <c r="O282" s="1">
        <v>2244</v>
      </c>
      <c r="P282" s="37">
        <v>227</v>
      </c>
      <c r="Q282" s="1"/>
      <c r="R282" s="1"/>
      <c r="T282" s="1"/>
      <c r="U282" s="1"/>
      <c r="V282" s="1"/>
    </row>
    <row r="283" spans="1:25" x14ac:dyDescent="0.4">
      <c r="A283" s="4">
        <v>402</v>
      </c>
      <c r="B283" t="s">
        <v>318</v>
      </c>
      <c r="C283" t="s">
        <v>14</v>
      </c>
      <c r="D283" t="s">
        <v>147</v>
      </c>
      <c r="E283" t="s">
        <v>148</v>
      </c>
      <c r="L283" s="1">
        <v>230000</v>
      </c>
      <c r="M283" s="1">
        <v>230000</v>
      </c>
      <c r="N283" s="1"/>
      <c r="O283" s="1">
        <v>193117</v>
      </c>
      <c r="P283" s="37">
        <v>-71437</v>
      </c>
      <c r="Q283" s="1"/>
      <c r="R283" s="1"/>
      <c r="T283" s="1">
        <v>2500</v>
      </c>
      <c r="U283" s="1">
        <v>3000</v>
      </c>
      <c r="V283" s="1">
        <v>4272</v>
      </c>
      <c r="W283" s="1">
        <v>3000</v>
      </c>
      <c r="X283" s="1"/>
      <c r="Y283" s="1"/>
    </row>
    <row r="284" spans="1:25" x14ac:dyDescent="0.4">
      <c r="A284" s="4">
        <v>402</v>
      </c>
      <c r="B284" t="s">
        <v>318</v>
      </c>
      <c r="C284" t="s">
        <v>14</v>
      </c>
      <c r="D284" s="4">
        <v>11000</v>
      </c>
      <c r="E284" t="s">
        <v>150</v>
      </c>
      <c r="L284" s="1">
        <v>2000</v>
      </c>
      <c r="M284" s="1">
        <v>2000</v>
      </c>
      <c r="N284" s="1"/>
      <c r="O284" s="1"/>
      <c r="P284" s="1">
        <v>280</v>
      </c>
      <c r="Q284" s="1"/>
      <c r="R284" s="1"/>
      <c r="T284" s="1">
        <v>2500</v>
      </c>
      <c r="U284" s="1">
        <v>2500</v>
      </c>
      <c r="V284" s="1">
        <v>521</v>
      </c>
      <c r="W284" s="1">
        <v>2500</v>
      </c>
      <c r="X284" s="1"/>
      <c r="Y284" s="1"/>
    </row>
    <row r="285" spans="1:25" x14ac:dyDescent="0.4">
      <c r="A285" s="4">
        <v>402</v>
      </c>
      <c r="B285" t="s">
        <v>318</v>
      </c>
      <c r="C285" t="s">
        <v>14</v>
      </c>
      <c r="D285" s="4">
        <v>11100</v>
      </c>
      <c r="E285" t="s">
        <v>319</v>
      </c>
      <c r="L285" s="1">
        <v>110000</v>
      </c>
      <c r="M285" s="1">
        <v>110000</v>
      </c>
      <c r="N285" s="1"/>
      <c r="O285" s="1">
        <v>238455</v>
      </c>
      <c r="P285" s="1">
        <v>39988</v>
      </c>
      <c r="Q285" s="1">
        <v>102000</v>
      </c>
      <c r="R285" s="1">
        <v>102000</v>
      </c>
      <c r="S285" s="1">
        <v>80000</v>
      </c>
      <c r="T285" s="1">
        <v>197000</v>
      </c>
      <c r="U285" s="1">
        <v>155000</v>
      </c>
      <c r="V285" s="1">
        <v>179370</v>
      </c>
      <c r="W285" s="1">
        <v>155000</v>
      </c>
      <c r="X285" s="1"/>
      <c r="Y285" s="1"/>
    </row>
    <row r="286" spans="1:25" x14ac:dyDescent="0.4">
      <c r="A286" s="4">
        <v>402</v>
      </c>
      <c r="B286" t="s">
        <v>318</v>
      </c>
      <c r="C286" t="s">
        <v>14</v>
      </c>
      <c r="D286" t="s">
        <v>153</v>
      </c>
      <c r="E286" t="s">
        <v>154</v>
      </c>
      <c r="L286" s="1">
        <v>854000</v>
      </c>
      <c r="M286" s="1">
        <v>854000</v>
      </c>
      <c r="N286" s="1"/>
      <c r="O286" s="1">
        <v>10258</v>
      </c>
      <c r="P286" s="1">
        <v>1595</v>
      </c>
      <c r="Q286" s="1">
        <v>14000</v>
      </c>
      <c r="R286" s="1">
        <v>14000</v>
      </c>
      <c r="S286" s="1">
        <v>13000</v>
      </c>
      <c r="T286" s="1">
        <v>7000</v>
      </c>
      <c r="U286" s="1">
        <v>6000</v>
      </c>
      <c r="V286" s="1">
        <v>2663</v>
      </c>
      <c r="W286" s="1">
        <v>6000</v>
      </c>
      <c r="X286" s="1"/>
      <c r="Y286" s="1"/>
    </row>
    <row r="287" spans="1:25" x14ac:dyDescent="0.4">
      <c r="A287" s="4">
        <v>402</v>
      </c>
      <c r="B287" t="s">
        <v>318</v>
      </c>
      <c r="C287" t="s">
        <v>14</v>
      </c>
      <c r="D287" t="s">
        <v>155</v>
      </c>
      <c r="E287" t="s">
        <v>156</v>
      </c>
      <c r="L287" s="1"/>
      <c r="M287" s="1"/>
      <c r="N287" s="1"/>
      <c r="O287" s="1">
        <v>237</v>
      </c>
      <c r="P287" s="1"/>
      <c r="Q287" s="1">
        <v>1000</v>
      </c>
      <c r="R287" s="1">
        <v>1000</v>
      </c>
      <c r="S287" s="1">
        <v>1000</v>
      </c>
      <c r="T287" s="1">
        <v>1000</v>
      </c>
      <c r="W287" s="1"/>
      <c r="X287" s="1"/>
      <c r="Y287" s="1"/>
    </row>
    <row r="288" spans="1:25" x14ac:dyDescent="0.4">
      <c r="A288" s="4">
        <v>402</v>
      </c>
      <c r="B288" t="s">
        <v>318</v>
      </c>
      <c r="C288" t="s">
        <v>14</v>
      </c>
      <c r="D288" t="s">
        <v>157</v>
      </c>
      <c r="E288" t="s">
        <v>158</v>
      </c>
      <c r="L288" s="1">
        <v>66000</v>
      </c>
      <c r="M288" s="1">
        <v>66000</v>
      </c>
      <c r="N288" s="1"/>
      <c r="O288" s="1">
        <v>197193</v>
      </c>
      <c r="P288" s="1">
        <v>51606</v>
      </c>
      <c r="Q288" s="1">
        <v>50000</v>
      </c>
      <c r="R288" s="1">
        <v>50000</v>
      </c>
      <c r="S288" s="1">
        <v>45000</v>
      </c>
      <c r="T288" s="1">
        <v>25000</v>
      </c>
      <c r="U288" s="1">
        <v>40000</v>
      </c>
      <c r="V288" s="1">
        <v>13868</v>
      </c>
      <c r="W288" s="1">
        <v>40000</v>
      </c>
      <c r="X288" s="1"/>
      <c r="Y288" s="1"/>
    </row>
    <row r="289" spans="1:25" x14ac:dyDescent="0.4">
      <c r="A289" s="4">
        <v>402</v>
      </c>
      <c r="B289" t="s">
        <v>318</v>
      </c>
      <c r="C289" t="s">
        <v>14</v>
      </c>
      <c r="D289" s="4">
        <v>11206</v>
      </c>
      <c r="E289" t="s">
        <v>160</v>
      </c>
      <c r="L289" s="1"/>
      <c r="M289" s="1"/>
      <c r="N289" s="1"/>
      <c r="O289" s="1">
        <v>1109</v>
      </c>
      <c r="P289" s="1"/>
      <c r="Q289" s="1">
        <v>2000</v>
      </c>
      <c r="R289" s="1">
        <v>2000</v>
      </c>
      <c r="S289" s="1">
        <v>2000</v>
      </c>
      <c r="T289" s="1">
        <v>21000</v>
      </c>
      <c r="U289" s="1">
        <v>27000</v>
      </c>
      <c r="V289" s="1">
        <v>32440</v>
      </c>
      <c r="W289" s="1">
        <v>27000</v>
      </c>
      <c r="X289" s="1"/>
      <c r="Y289" s="1"/>
    </row>
    <row r="290" spans="1:25" x14ac:dyDescent="0.4">
      <c r="A290" s="4">
        <v>402</v>
      </c>
      <c r="B290" t="s">
        <v>318</v>
      </c>
      <c r="C290" t="s">
        <v>14</v>
      </c>
      <c r="D290" s="4">
        <v>11209</v>
      </c>
      <c r="E290" t="s">
        <v>320</v>
      </c>
      <c r="L290" s="1">
        <v>4000</v>
      </c>
      <c r="M290" s="1">
        <v>4000</v>
      </c>
      <c r="N290" s="1"/>
      <c r="O290" s="1"/>
      <c r="P290" s="1"/>
      <c r="Q290" s="1"/>
      <c r="R290" s="1"/>
      <c r="X290" s="1"/>
      <c r="Y290" s="1"/>
    </row>
    <row r="291" spans="1:25" x14ac:dyDescent="0.4">
      <c r="A291" s="4">
        <v>402</v>
      </c>
      <c r="B291" t="s">
        <v>318</v>
      </c>
      <c r="C291" t="s">
        <v>14</v>
      </c>
      <c r="D291" t="s">
        <v>164</v>
      </c>
      <c r="E291" t="s">
        <v>165</v>
      </c>
      <c r="L291" s="1"/>
      <c r="M291" s="1"/>
      <c r="N291" s="1"/>
      <c r="O291" s="1">
        <v>11990</v>
      </c>
      <c r="P291" s="1">
        <v>15178</v>
      </c>
      <c r="Q291" s="1">
        <v>13000</v>
      </c>
      <c r="R291" s="1">
        <v>13000</v>
      </c>
      <c r="S291" s="1">
        <v>13000</v>
      </c>
      <c r="T291" s="1"/>
      <c r="X291" s="1"/>
      <c r="Y291" s="1"/>
    </row>
    <row r="292" spans="1:25" x14ac:dyDescent="0.4">
      <c r="A292" s="4">
        <v>402</v>
      </c>
      <c r="B292" t="s">
        <v>318</v>
      </c>
      <c r="C292" t="s">
        <v>14</v>
      </c>
      <c r="D292" s="4">
        <v>11310</v>
      </c>
      <c r="E292" t="s">
        <v>166</v>
      </c>
      <c r="L292" s="1"/>
      <c r="M292" s="1"/>
      <c r="N292" s="1"/>
      <c r="O292" s="1"/>
      <c r="P292" s="1"/>
      <c r="Q292" s="1"/>
      <c r="R292" s="1"/>
      <c r="S292" s="1"/>
      <c r="T292" s="1"/>
      <c r="V292">
        <v>2900</v>
      </c>
      <c r="X292" s="1"/>
      <c r="Y292" s="1"/>
    </row>
    <row r="293" spans="1:25" x14ac:dyDescent="0.4">
      <c r="A293" s="4">
        <v>402</v>
      </c>
      <c r="B293" t="s">
        <v>318</v>
      </c>
      <c r="C293" t="s">
        <v>14</v>
      </c>
      <c r="D293" t="s">
        <v>167</v>
      </c>
      <c r="E293" t="s">
        <v>168</v>
      </c>
      <c r="L293" s="1">
        <v>8000</v>
      </c>
      <c r="M293" s="1">
        <v>8000</v>
      </c>
      <c r="N293" s="1"/>
      <c r="O293" s="1">
        <v>17600</v>
      </c>
      <c r="P293" s="1">
        <v>37431</v>
      </c>
      <c r="Q293" s="1">
        <v>10000</v>
      </c>
      <c r="R293" s="1">
        <v>10000</v>
      </c>
      <c r="S293" s="1">
        <v>11000</v>
      </c>
      <c r="T293" s="1"/>
      <c r="X293" s="1"/>
      <c r="Y293" s="1"/>
    </row>
    <row r="294" spans="1:25" x14ac:dyDescent="0.4">
      <c r="A294" s="4">
        <v>402</v>
      </c>
      <c r="B294" t="s">
        <v>318</v>
      </c>
      <c r="C294" t="s">
        <v>14</v>
      </c>
      <c r="D294" t="s">
        <v>169</v>
      </c>
      <c r="E294" t="s">
        <v>170</v>
      </c>
      <c r="L294" s="1">
        <v>302000</v>
      </c>
      <c r="M294" s="1">
        <v>302000</v>
      </c>
      <c r="N294" s="1"/>
      <c r="O294" s="1">
        <v>52450</v>
      </c>
      <c r="P294" s="1">
        <v>4500</v>
      </c>
      <c r="Q294" s="1">
        <v>10000</v>
      </c>
      <c r="R294" s="1">
        <v>10000</v>
      </c>
      <c r="S294" s="1">
        <v>13000</v>
      </c>
      <c r="T294" s="1"/>
      <c r="X294" s="1"/>
      <c r="Y294" s="1"/>
    </row>
    <row r="295" spans="1:25" x14ac:dyDescent="0.4">
      <c r="A295" s="4">
        <v>402</v>
      </c>
      <c r="B295" t="s">
        <v>318</v>
      </c>
      <c r="C295" t="s">
        <v>14</v>
      </c>
      <c r="D295" s="4">
        <v>11502</v>
      </c>
      <c r="E295" t="s">
        <v>321</v>
      </c>
      <c r="L295" s="1"/>
      <c r="M295" s="1"/>
      <c r="N295" s="1"/>
      <c r="O295" s="1"/>
      <c r="P295" s="1">
        <v>723021</v>
      </c>
      <c r="Q295" s="1">
        <v>830000</v>
      </c>
      <c r="R295" s="1">
        <v>1030000</v>
      </c>
      <c r="S295" s="1">
        <v>1040000</v>
      </c>
      <c r="T295" s="1">
        <v>960000</v>
      </c>
      <c r="U295" s="1">
        <v>1094000</v>
      </c>
      <c r="V295" s="1">
        <v>1147253</v>
      </c>
      <c r="W295" s="1">
        <v>1094000</v>
      </c>
      <c r="X295" s="1"/>
      <c r="Y295" s="1"/>
    </row>
    <row r="296" spans="1:25" x14ac:dyDescent="0.4">
      <c r="A296" s="4">
        <v>402</v>
      </c>
      <c r="B296" t="s">
        <v>318</v>
      </c>
      <c r="C296" t="s">
        <v>14</v>
      </c>
      <c r="D296" t="s">
        <v>300</v>
      </c>
      <c r="E296" t="s">
        <v>301</v>
      </c>
      <c r="L296" s="1"/>
      <c r="M296" s="1"/>
      <c r="N296" s="1"/>
      <c r="O296" s="1"/>
      <c r="P296" s="1"/>
      <c r="Q296" s="1"/>
      <c r="R296" s="1"/>
      <c r="X296" s="1"/>
      <c r="Y296" s="1"/>
    </row>
    <row r="297" spans="1:25" x14ac:dyDescent="0.4">
      <c r="A297" s="4">
        <v>402</v>
      </c>
      <c r="B297" t="s">
        <v>318</v>
      </c>
      <c r="C297" t="s">
        <v>14</v>
      </c>
      <c r="D297" t="s">
        <v>171</v>
      </c>
      <c r="E297" t="s">
        <v>172</v>
      </c>
      <c r="L297" s="1">
        <v>15000</v>
      </c>
      <c r="M297" s="1">
        <v>15000</v>
      </c>
      <c r="N297" s="1"/>
      <c r="O297" s="1"/>
      <c r="P297" s="1"/>
      <c r="Q297" s="1"/>
      <c r="R297" s="1"/>
      <c r="T297" s="1"/>
      <c r="V297">
        <v>2524</v>
      </c>
      <c r="X297" s="1"/>
      <c r="Y297" s="1"/>
    </row>
    <row r="298" spans="1:25" x14ac:dyDescent="0.4">
      <c r="A298" s="4">
        <v>402</v>
      </c>
      <c r="B298" t="s">
        <v>318</v>
      </c>
      <c r="C298" t="s">
        <v>14</v>
      </c>
      <c r="D298" s="4">
        <v>11650</v>
      </c>
      <c r="E298" t="s">
        <v>322</v>
      </c>
      <c r="L298" s="1"/>
      <c r="M298" s="1"/>
      <c r="N298" s="1"/>
      <c r="O298" s="1">
        <v>92000</v>
      </c>
      <c r="P298" s="1">
        <v>136492</v>
      </c>
      <c r="Q298" s="1">
        <v>122000</v>
      </c>
      <c r="R298" s="1">
        <v>122000</v>
      </c>
      <c r="S298" s="1">
        <v>100000</v>
      </c>
      <c r="T298" s="1">
        <v>50000</v>
      </c>
      <c r="U298" s="1">
        <v>50000</v>
      </c>
      <c r="V298" s="1"/>
      <c r="W298" s="1">
        <v>50000</v>
      </c>
      <c r="X298" s="1"/>
      <c r="Y298" s="1"/>
    </row>
    <row r="299" spans="1:25" x14ac:dyDescent="0.4">
      <c r="A299" s="4">
        <v>402</v>
      </c>
      <c r="B299" t="s">
        <v>318</v>
      </c>
      <c r="C299" t="s">
        <v>14</v>
      </c>
      <c r="D299" t="s">
        <v>174</v>
      </c>
      <c r="E299" t="s">
        <v>175</v>
      </c>
      <c r="L299" s="1"/>
      <c r="M299" s="1"/>
      <c r="N299" s="1"/>
      <c r="O299" s="1">
        <v>24122</v>
      </c>
      <c r="P299" s="1">
        <v>7386</v>
      </c>
      <c r="Q299" s="1">
        <v>80000</v>
      </c>
      <c r="R299" s="1">
        <v>80000</v>
      </c>
      <c r="S299" s="1">
        <v>78000</v>
      </c>
      <c r="T299" s="1">
        <v>150000</v>
      </c>
      <c r="U299" s="1">
        <v>144000</v>
      </c>
      <c r="V299" s="1">
        <v>169850</v>
      </c>
      <c r="W299" s="1">
        <v>144000</v>
      </c>
      <c r="X299" s="1"/>
      <c r="Y299" s="1"/>
    </row>
    <row r="300" spans="1:25" x14ac:dyDescent="0.4">
      <c r="A300" s="4">
        <v>402</v>
      </c>
      <c r="B300" t="s">
        <v>318</v>
      </c>
      <c r="C300" t="s">
        <v>14</v>
      </c>
      <c r="D300" t="s">
        <v>176</v>
      </c>
      <c r="E300" t="s">
        <v>177</v>
      </c>
      <c r="L300" s="1"/>
      <c r="M300" s="1"/>
      <c r="N300" s="1"/>
      <c r="O300" s="1">
        <v>-2244</v>
      </c>
      <c r="P300" s="1">
        <v>-227</v>
      </c>
      <c r="Q300" s="1"/>
      <c r="X300" s="1"/>
      <c r="Y300" s="1"/>
    </row>
    <row r="301" spans="1:25" x14ac:dyDescent="0.4">
      <c r="A301" s="4">
        <v>402</v>
      </c>
      <c r="B301" t="s">
        <v>318</v>
      </c>
      <c r="C301" t="s">
        <v>14</v>
      </c>
      <c r="D301" s="4">
        <v>11900</v>
      </c>
      <c r="E301" t="s">
        <v>238</v>
      </c>
      <c r="L301" s="1">
        <v>25000</v>
      </c>
      <c r="M301" s="1">
        <v>25000</v>
      </c>
      <c r="N301" s="1"/>
      <c r="O301" s="1"/>
      <c r="P301" s="1"/>
      <c r="Q301" s="1"/>
      <c r="X301" s="1"/>
      <c r="Y301" s="1"/>
    </row>
    <row r="302" spans="1:25" x14ac:dyDescent="0.4">
      <c r="A302" s="4">
        <v>402</v>
      </c>
      <c r="B302" t="s">
        <v>318</v>
      </c>
      <c r="C302" t="s">
        <v>14</v>
      </c>
      <c r="D302" s="4">
        <v>11951</v>
      </c>
      <c r="E302" t="s">
        <v>181</v>
      </c>
      <c r="L302" s="1"/>
      <c r="M302" s="1"/>
      <c r="N302" s="1"/>
      <c r="O302" s="1">
        <v>146</v>
      </c>
      <c r="P302" s="1"/>
      <c r="Q302" s="1"/>
      <c r="X302" s="1"/>
      <c r="Y302" s="1"/>
    </row>
    <row r="303" spans="1:25" x14ac:dyDescent="0.4">
      <c r="A303" s="4">
        <v>402</v>
      </c>
      <c r="B303" t="s">
        <v>318</v>
      </c>
      <c r="C303" t="s">
        <v>14</v>
      </c>
      <c r="D303" t="s">
        <v>182</v>
      </c>
      <c r="E303" t="s">
        <v>183</v>
      </c>
      <c r="L303" s="1"/>
      <c r="M303" s="1"/>
      <c r="N303" s="1"/>
      <c r="O303" s="1">
        <v>7586</v>
      </c>
      <c r="P303" s="1"/>
      <c r="Q303" s="1"/>
      <c r="R303" s="1"/>
      <c r="X303" s="1"/>
      <c r="Y303" s="1"/>
    </row>
    <row r="304" spans="1:25" x14ac:dyDescent="0.4">
      <c r="A304" s="4">
        <v>402</v>
      </c>
      <c r="B304" t="s">
        <v>318</v>
      </c>
      <c r="C304" t="s">
        <v>14</v>
      </c>
      <c r="D304" s="4">
        <v>12100</v>
      </c>
      <c r="E304" t="s">
        <v>323</v>
      </c>
      <c r="L304" s="1"/>
      <c r="M304" s="1"/>
      <c r="N304" s="1"/>
      <c r="O304" s="1">
        <v>2289</v>
      </c>
      <c r="P304" s="1"/>
      <c r="Q304" s="1"/>
      <c r="R304" s="1"/>
      <c r="X304" s="1"/>
      <c r="Y304" s="1"/>
    </row>
    <row r="305" spans="1:25" x14ac:dyDescent="0.4">
      <c r="A305" s="4">
        <v>402</v>
      </c>
      <c r="B305" t="s">
        <v>318</v>
      </c>
      <c r="C305" t="s">
        <v>14</v>
      </c>
      <c r="D305" t="s">
        <v>190</v>
      </c>
      <c r="E305" t="s">
        <v>247</v>
      </c>
      <c r="L305" s="1">
        <v>127000</v>
      </c>
      <c r="M305" s="1">
        <v>127000</v>
      </c>
      <c r="N305" s="1"/>
      <c r="O305" s="1"/>
      <c r="P305" s="1"/>
      <c r="Q305" s="1"/>
      <c r="R305" s="1"/>
      <c r="X305" s="1"/>
      <c r="Y305" s="1"/>
    </row>
    <row r="306" spans="1:25" x14ac:dyDescent="0.4">
      <c r="A306" s="4">
        <v>402</v>
      </c>
      <c r="B306" t="s">
        <v>318</v>
      </c>
      <c r="C306" t="s">
        <v>14</v>
      </c>
      <c r="D306" s="4">
        <v>13400</v>
      </c>
      <c r="E306" t="s">
        <v>69</v>
      </c>
      <c r="L306" s="1">
        <v>12000</v>
      </c>
      <c r="M306" s="1">
        <v>12000</v>
      </c>
      <c r="N306" s="1"/>
      <c r="O306" s="1">
        <v>24000</v>
      </c>
      <c r="P306" s="1"/>
      <c r="Q306" s="1"/>
      <c r="R306" s="1"/>
      <c r="X306" s="1"/>
      <c r="Y306" s="1"/>
    </row>
    <row r="307" spans="1:25" x14ac:dyDescent="0.4">
      <c r="A307" s="4">
        <v>402</v>
      </c>
      <c r="B307" t="s">
        <v>318</v>
      </c>
      <c r="C307" t="s">
        <v>14</v>
      </c>
      <c r="D307" s="4">
        <v>13500</v>
      </c>
      <c r="E307" t="s">
        <v>10</v>
      </c>
      <c r="L307" s="1">
        <v>6000</v>
      </c>
      <c r="M307" s="1">
        <v>6000</v>
      </c>
      <c r="N307" s="1"/>
      <c r="O307" s="1">
        <v>874</v>
      </c>
      <c r="P307" s="1"/>
      <c r="Q307" s="1"/>
      <c r="R307" s="1"/>
      <c r="X307" s="1"/>
      <c r="Y307" s="1"/>
    </row>
    <row r="308" spans="1:25" x14ac:dyDescent="0.4">
      <c r="A308" s="4">
        <v>402</v>
      </c>
      <c r="B308" t="s">
        <v>318</v>
      </c>
      <c r="C308" t="s">
        <v>14</v>
      </c>
      <c r="D308" t="s">
        <v>195</v>
      </c>
      <c r="E308" t="s">
        <v>11</v>
      </c>
      <c r="L308" s="1">
        <v>186000</v>
      </c>
      <c r="M308" s="1">
        <v>186000</v>
      </c>
      <c r="N308" s="1"/>
      <c r="O308" s="1">
        <v>67434</v>
      </c>
      <c r="P308" s="1">
        <v>119829</v>
      </c>
      <c r="Q308" s="1">
        <v>50000</v>
      </c>
      <c r="R308" s="1">
        <v>50000</v>
      </c>
      <c r="S308" s="1">
        <v>90000</v>
      </c>
      <c r="T308" s="1">
        <v>43000</v>
      </c>
      <c r="U308" s="1">
        <v>55000</v>
      </c>
      <c r="V308" s="1">
        <v>44006</v>
      </c>
      <c r="W308" s="1">
        <v>55000</v>
      </c>
      <c r="X308" s="1"/>
      <c r="Y308" s="1"/>
    </row>
    <row r="309" spans="1:25" x14ac:dyDescent="0.4">
      <c r="A309" s="4">
        <v>402</v>
      </c>
      <c r="B309" t="s">
        <v>318</v>
      </c>
      <c r="C309" t="s">
        <v>14</v>
      </c>
      <c r="D309" s="4">
        <v>14700</v>
      </c>
      <c r="E309" t="s">
        <v>324</v>
      </c>
      <c r="L309" s="1"/>
      <c r="M309" s="1"/>
      <c r="N309" s="1"/>
      <c r="O309" s="1"/>
      <c r="P309" s="1"/>
      <c r="Q309" s="1">
        <v>16000</v>
      </c>
      <c r="R309" s="1">
        <v>16000</v>
      </c>
      <c r="S309" s="1">
        <v>12000</v>
      </c>
      <c r="T309" s="1"/>
      <c r="X309" s="1"/>
      <c r="Y309" s="1"/>
    </row>
    <row r="310" spans="1:25" x14ac:dyDescent="0.4">
      <c r="A310" s="4">
        <v>402</v>
      </c>
      <c r="B310" t="s">
        <v>318</v>
      </c>
      <c r="C310" t="s">
        <v>14</v>
      </c>
      <c r="D310" s="4">
        <v>15004</v>
      </c>
      <c r="E310" t="s">
        <v>32</v>
      </c>
      <c r="L310" s="1"/>
      <c r="M310" s="1"/>
      <c r="N310" s="1"/>
      <c r="O310" s="1"/>
      <c r="P310" s="1"/>
      <c r="Q310" s="1"/>
      <c r="R310" s="1"/>
      <c r="S310" s="1"/>
      <c r="T310" s="1"/>
      <c r="U310">
        <v>15000</v>
      </c>
      <c r="W310">
        <v>15000</v>
      </c>
      <c r="X310" s="1"/>
      <c r="Y310" s="1"/>
    </row>
    <row r="311" spans="1:25" x14ac:dyDescent="0.4">
      <c r="A311" s="4">
        <v>402</v>
      </c>
      <c r="B311" t="s">
        <v>318</v>
      </c>
      <c r="C311" t="s">
        <v>14</v>
      </c>
      <c r="D311" s="4">
        <v>15400</v>
      </c>
      <c r="E311" t="s">
        <v>325</v>
      </c>
      <c r="L311" s="1"/>
      <c r="M311" s="1"/>
      <c r="N311" s="1"/>
      <c r="O311" s="1"/>
      <c r="P311" s="1"/>
      <c r="Q311" s="1"/>
      <c r="R311" s="1"/>
      <c r="X311" s="1"/>
      <c r="Y311" s="1"/>
    </row>
    <row r="312" spans="1:25" x14ac:dyDescent="0.4">
      <c r="A312" s="6"/>
      <c r="B312" s="2" t="s">
        <v>14</v>
      </c>
      <c r="C312" s="2"/>
      <c r="D312" s="2"/>
      <c r="E312" s="2"/>
      <c r="F312" s="2"/>
      <c r="G312" s="2"/>
      <c r="H312" s="2"/>
      <c r="I312" s="2"/>
      <c r="J312" s="2"/>
      <c r="K312" s="2"/>
      <c r="L312" s="3">
        <f>SUM(L276:L309)</f>
        <v>3582000</v>
      </c>
      <c r="M312" s="3">
        <f>SUM(M276:M309)</f>
        <v>3582000</v>
      </c>
      <c r="N312" s="3"/>
      <c r="O312" s="3">
        <f>SUM(O276:O309)</f>
        <v>2367084</v>
      </c>
      <c r="P312" s="3">
        <f>SUM(P276:P311)</f>
        <v>558996</v>
      </c>
      <c r="Q312" s="3">
        <f>SUM(Q276:Q311)</f>
        <v>1300000</v>
      </c>
      <c r="R312" s="3">
        <f>SUM(R285:R311)</f>
        <v>1500000</v>
      </c>
      <c r="S312" s="3">
        <f>SUM(S276:S311)</f>
        <v>1498000</v>
      </c>
      <c r="T312" s="3">
        <f>SUM(T276:T311)</f>
        <v>1476000</v>
      </c>
      <c r="U312" s="3">
        <f>SUM(U276:U311)</f>
        <v>1606500</v>
      </c>
      <c r="V312" s="3">
        <f>SUM(V275:V311)</f>
        <v>1629963</v>
      </c>
      <c r="W312" s="3">
        <f>SUM(W275:W311)</f>
        <v>1606500</v>
      </c>
      <c r="X312" s="1"/>
      <c r="Y312" s="1"/>
    </row>
    <row r="313" spans="1:25" x14ac:dyDescent="0.4">
      <c r="A313" s="4"/>
      <c r="L313" s="1"/>
      <c r="M313" s="1"/>
      <c r="N313" s="1"/>
      <c r="O313" s="1"/>
      <c r="P313" s="1"/>
      <c r="Q313" s="1"/>
      <c r="R313" s="1"/>
      <c r="X313" s="1"/>
      <c r="Y313" s="1"/>
    </row>
    <row r="314" spans="1:25" x14ac:dyDescent="0.4">
      <c r="A314" s="4">
        <v>402</v>
      </c>
      <c r="B314" t="s">
        <v>318</v>
      </c>
      <c r="C314" t="s">
        <v>26</v>
      </c>
      <c r="D314" s="4">
        <v>16100</v>
      </c>
      <c r="E314" t="s">
        <v>326</v>
      </c>
      <c r="L314" s="1"/>
      <c r="M314" s="1"/>
      <c r="N314" s="1"/>
      <c r="O314" s="1">
        <v>2700</v>
      </c>
      <c r="P314" s="1"/>
      <c r="Q314" s="1">
        <v>-30000</v>
      </c>
      <c r="R314" s="1">
        <v>-30000</v>
      </c>
      <c r="S314" s="1">
        <v>-30000</v>
      </c>
      <c r="T314" s="1"/>
      <c r="U314" s="1">
        <v>-1212500</v>
      </c>
      <c r="V314" s="1">
        <v>-1169635</v>
      </c>
      <c r="W314" s="1">
        <v>-1212500</v>
      </c>
      <c r="X314" s="1"/>
      <c r="Y314" s="1"/>
    </row>
    <row r="315" spans="1:25" x14ac:dyDescent="0.4">
      <c r="A315" s="4">
        <v>402</v>
      </c>
      <c r="B315" t="s">
        <v>318</v>
      </c>
      <c r="C315" t="s">
        <v>26</v>
      </c>
      <c r="D315" s="4">
        <v>16101</v>
      </c>
      <c r="E315" t="s">
        <v>59</v>
      </c>
      <c r="L315" s="1">
        <v>-1110000</v>
      </c>
      <c r="M315" s="1">
        <v>-1110000</v>
      </c>
      <c r="N315" s="1"/>
      <c r="O315" s="1">
        <v>-587384</v>
      </c>
      <c r="P315" s="1">
        <v>-819041</v>
      </c>
      <c r="Q315" s="1">
        <v>-824700</v>
      </c>
      <c r="R315" s="28">
        <v>-1034700</v>
      </c>
      <c r="S315" s="1">
        <v>-1127500</v>
      </c>
      <c r="T315" s="1">
        <v>-1009500</v>
      </c>
      <c r="U315" s="1">
        <v>-24000</v>
      </c>
      <c r="V315" s="1"/>
      <c r="W315" s="1">
        <v>-24000</v>
      </c>
      <c r="X315" s="1"/>
      <c r="Y315" s="1"/>
    </row>
    <row r="316" spans="1:25" x14ac:dyDescent="0.4">
      <c r="A316" s="4">
        <v>402</v>
      </c>
      <c r="B316" t="s">
        <v>318</v>
      </c>
      <c r="C316" t="s">
        <v>26</v>
      </c>
      <c r="D316" s="4">
        <v>16200</v>
      </c>
      <c r="E316" t="s">
        <v>327</v>
      </c>
      <c r="L316" s="1">
        <v>-38000</v>
      </c>
      <c r="M316" s="1">
        <v>-38000</v>
      </c>
      <c r="N316" s="1"/>
      <c r="O316" s="1">
        <v>-24000</v>
      </c>
      <c r="P316" s="1">
        <v>-18925</v>
      </c>
      <c r="Q316" s="1">
        <v>-20000</v>
      </c>
      <c r="R316" s="1">
        <v>-20000</v>
      </c>
      <c r="S316" s="1">
        <v>-30000</v>
      </c>
      <c r="T316" s="1">
        <v>-30000</v>
      </c>
      <c r="U316" s="1">
        <v>-25000</v>
      </c>
      <c r="V316" s="1">
        <v>-49130</v>
      </c>
      <c r="W316" s="1">
        <v>-25000</v>
      </c>
      <c r="X316" s="1"/>
      <c r="Y316" s="1"/>
    </row>
    <row r="317" spans="1:25" x14ac:dyDescent="0.4">
      <c r="A317" s="4">
        <v>402</v>
      </c>
      <c r="B317" t="s">
        <v>318</v>
      </c>
      <c r="C317" t="s">
        <v>26</v>
      </c>
      <c r="D317" s="4">
        <v>17290</v>
      </c>
      <c r="E317" t="s">
        <v>328</v>
      </c>
      <c r="L317" s="1">
        <v>-186000</v>
      </c>
      <c r="M317" s="1">
        <v>-186000</v>
      </c>
      <c r="N317" s="1"/>
      <c r="O317" s="1">
        <v>-67434</v>
      </c>
      <c r="P317" s="1">
        <v>-119829</v>
      </c>
      <c r="Q317" s="1">
        <v>-50000</v>
      </c>
      <c r="R317" s="1">
        <v>-50000</v>
      </c>
      <c r="S317" s="1">
        <v>-90000</v>
      </c>
      <c r="T317" s="1">
        <v>-43000</v>
      </c>
      <c r="U317" s="1">
        <v>-55000</v>
      </c>
      <c r="V317" s="1">
        <v>-44006</v>
      </c>
      <c r="W317" s="1">
        <v>-55000</v>
      </c>
      <c r="X317" s="1"/>
      <c r="Y317" s="1"/>
    </row>
    <row r="318" spans="1:25" x14ac:dyDescent="0.4">
      <c r="A318" s="4">
        <v>402</v>
      </c>
      <c r="B318" s="30" t="s">
        <v>318</v>
      </c>
      <c r="C318" s="30" t="s">
        <v>26</v>
      </c>
      <c r="D318" s="31">
        <v>17400</v>
      </c>
      <c r="E318" s="30" t="s">
        <v>329</v>
      </c>
      <c r="F318" s="30"/>
      <c r="G318" s="30"/>
      <c r="H318" s="30"/>
      <c r="I318" s="30"/>
      <c r="J318" s="30"/>
      <c r="K318" s="30"/>
      <c r="L318" s="28">
        <v>-77000</v>
      </c>
      <c r="M318" s="28">
        <v>-77000</v>
      </c>
      <c r="N318" s="28"/>
      <c r="O318" s="28"/>
      <c r="P318" s="28"/>
      <c r="Q318" s="28"/>
      <c r="R318" s="28"/>
      <c r="V318" s="1"/>
      <c r="X318" s="1"/>
      <c r="Y318" s="1"/>
    </row>
    <row r="319" spans="1:25" x14ac:dyDescent="0.4">
      <c r="A319" s="4">
        <v>402</v>
      </c>
      <c r="B319" t="s">
        <v>318</v>
      </c>
      <c r="C319" t="s">
        <v>26</v>
      </c>
      <c r="D319" s="4">
        <v>17500</v>
      </c>
      <c r="E319" t="s">
        <v>210</v>
      </c>
      <c r="L319" s="1">
        <v>-6000</v>
      </c>
      <c r="M319" s="1">
        <v>-6000</v>
      </c>
      <c r="N319" s="1"/>
      <c r="O319" s="1"/>
      <c r="P319" s="1"/>
      <c r="Q319" s="1">
        <v>-6000</v>
      </c>
      <c r="R319" s="1">
        <v>-6000</v>
      </c>
      <c r="X319" s="1"/>
      <c r="Y319" s="1"/>
    </row>
    <row r="320" spans="1:25" x14ac:dyDescent="0.4">
      <c r="A320" s="4">
        <v>402</v>
      </c>
      <c r="B320" t="s">
        <v>318</v>
      </c>
      <c r="C320" t="s">
        <v>26</v>
      </c>
      <c r="D320" s="4">
        <v>17700</v>
      </c>
      <c r="E320" t="s">
        <v>51</v>
      </c>
      <c r="L320" s="1"/>
      <c r="M320" s="1"/>
      <c r="N320" s="1"/>
      <c r="O320" s="1">
        <v>-357</v>
      </c>
      <c r="P320" s="1">
        <v>17</v>
      </c>
      <c r="Q320" s="1"/>
      <c r="R320" s="1"/>
      <c r="X320" s="1"/>
      <c r="Y320" s="1"/>
    </row>
    <row r="321" spans="1:25" x14ac:dyDescent="0.4">
      <c r="A321" s="4">
        <v>402</v>
      </c>
      <c r="B321" t="s">
        <v>318</v>
      </c>
      <c r="C321" t="s">
        <v>26</v>
      </c>
      <c r="D321" s="4">
        <v>18050</v>
      </c>
      <c r="E321" t="s">
        <v>330</v>
      </c>
      <c r="I321" s="36"/>
      <c r="L321" s="1">
        <v>-695000</v>
      </c>
      <c r="M321" s="1">
        <v>-695000</v>
      </c>
      <c r="N321" s="1"/>
      <c r="O321" s="1">
        <v>-683740</v>
      </c>
      <c r="P321" s="1"/>
      <c r="Q321" s="1"/>
      <c r="R321" s="1"/>
      <c r="X321" s="1"/>
      <c r="Y321" s="1"/>
    </row>
    <row r="322" spans="1:25" x14ac:dyDescent="0.4">
      <c r="A322" s="4">
        <v>402</v>
      </c>
      <c r="B322" t="s">
        <v>318</v>
      </c>
      <c r="C322" t="s">
        <v>26</v>
      </c>
      <c r="D322" s="4">
        <v>18300</v>
      </c>
      <c r="E322" t="s">
        <v>22</v>
      </c>
      <c r="L322" s="1">
        <v>-1170000</v>
      </c>
      <c r="M322" s="1">
        <v>-1170000</v>
      </c>
      <c r="N322" s="1"/>
      <c r="O322" s="1">
        <v>-1170000</v>
      </c>
      <c r="P322" s="1"/>
      <c r="Q322" s="1"/>
      <c r="R322" s="1"/>
      <c r="X322" s="1"/>
      <c r="Y322" s="1"/>
    </row>
    <row r="323" spans="1:25" x14ac:dyDescent="0.4">
      <c r="A323" s="4">
        <v>402</v>
      </c>
      <c r="B323" t="s">
        <v>318</v>
      </c>
      <c r="C323" t="s">
        <v>26</v>
      </c>
      <c r="D323" s="4">
        <v>18700</v>
      </c>
      <c r="E323" t="s">
        <v>331</v>
      </c>
      <c r="L323" s="1">
        <v>-300000</v>
      </c>
      <c r="M323" s="1">
        <v>-300000</v>
      </c>
      <c r="N323" s="1"/>
      <c r="O323" s="1">
        <v>-137500</v>
      </c>
      <c r="P323" s="1">
        <v>-17620</v>
      </c>
      <c r="Q323" s="1">
        <v>-288000</v>
      </c>
      <c r="R323" s="1">
        <v>-288000</v>
      </c>
      <c r="S323" s="1">
        <v>-155000</v>
      </c>
      <c r="T323" s="1">
        <v>-328000</v>
      </c>
      <c r="U323" s="1">
        <v>-290000</v>
      </c>
      <c r="V323" s="1">
        <v>-3600</v>
      </c>
      <c r="W323" s="1">
        <v>-290000</v>
      </c>
      <c r="X323" s="1"/>
      <c r="Y323" s="1"/>
    </row>
    <row r="324" spans="1:25" x14ac:dyDescent="0.4">
      <c r="A324" s="4">
        <v>402</v>
      </c>
      <c r="B324" t="s">
        <v>318</v>
      </c>
      <c r="C324" t="s">
        <v>26</v>
      </c>
      <c r="D324" s="4">
        <v>19004</v>
      </c>
      <c r="E324" t="s">
        <v>332</v>
      </c>
      <c r="L324" s="1"/>
      <c r="M324" s="1"/>
      <c r="N324" s="1"/>
      <c r="O324" s="1"/>
      <c r="P324" s="1"/>
      <c r="Q324" s="1"/>
      <c r="R324" s="1"/>
      <c r="S324" s="1"/>
      <c r="T324" s="1"/>
      <c r="V324">
        <v>-8365</v>
      </c>
      <c r="X324" s="1"/>
      <c r="Y324" s="1"/>
    </row>
    <row r="325" spans="1:25" x14ac:dyDescent="0.4">
      <c r="A325" s="4">
        <v>402</v>
      </c>
      <c r="B325" t="s">
        <v>318</v>
      </c>
      <c r="C325" t="s">
        <v>26</v>
      </c>
      <c r="D325" s="4">
        <v>19500</v>
      </c>
      <c r="E325" t="s">
        <v>333</v>
      </c>
      <c r="L325" s="1"/>
      <c r="M325" s="1"/>
      <c r="N325" s="1"/>
      <c r="O325" s="1"/>
      <c r="P325" s="1"/>
      <c r="Q325" s="1">
        <v>-81300</v>
      </c>
      <c r="R325" s="1">
        <v>-71300</v>
      </c>
      <c r="S325" s="1">
        <v>-65500</v>
      </c>
      <c r="T325" s="1">
        <v>-65500</v>
      </c>
      <c r="U325" s="1"/>
      <c r="V325" s="1"/>
      <c r="X325" s="1"/>
      <c r="Y325" s="1"/>
    </row>
    <row r="326" spans="1:25" x14ac:dyDescent="0.4">
      <c r="A326" s="6"/>
      <c r="B326" s="2" t="s">
        <v>26</v>
      </c>
      <c r="C326" s="2"/>
      <c r="D326" s="2"/>
      <c r="E326" s="2"/>
      <c r="F326" s="2"/>
      <c r="G326" s="2"/>
      <c r="H326" s="2"/>
      <c r="I326" s="2"/>
      <c r="J326" s="2"/>
      <c r="K326" s="2"/>
      <c r="L326" s="3">
        <f>SUM(L314:L323)</f>
        <v>-3582000</v>
      </c>
      <c r="M326" s="3">
        <f>SUM(M314:M323)</f>
        <v>-3582000</v>
      </c>
      <c r="N326" s="3"/>
      <c r="O326" s="3">
        <f>SUM(O314:O323)</f>
        <v>-2667715</v>
      </c>
      <c r="P326" s="3">
        <f t="shared" ref="P326:W326" si="10">SUM(P314:P325)</f>
        <v>-975398</v>
      </c>
      <c r="Q326" s="3">
        <f t="shared" si="10"/>
        <v>-1300000</v>
      </c>
      <c r="R326" s="3">
        <f t="shared" si="10"/>
        <v>-1500000</v>
      </c>
      <c r="S326" s="3">
        <f t="shared" si="10"/>
        <v>-1498000</v>
      </c>
      <c r="T326" s="3">
        <f t="shared" si="10"/>
        <v>-1476000</v>
      </c>
      <c r="U326" s="3">
        <f t="shared" si="10"/>
        <v>-1606500</v>
      </c>
      <c r="V326" s="3">
        <f t="shared" si="10"/>
        <v>-1274736</v>
      </c>
      <c r="W326" s="3">
        <f t="shared" si="10"/>
        <v>-1606500</v>
      </c>
      <c r="X326" s="41"/>
      <c r="Y326" s="41"/>
    </row>
    <row r="327" spans="1:25" x14ac:dyDescent="0.4">
      <c r="A327" s="4"/>
      <c r="L327" s="1"/>
      <c r="M327" s="1"/>
      <c r="N327" s="1"/>
      <c r="O327" s="1"/>
      <c r="P327" s="1"/>
      <c r="Q327" s="1"/>
      <c r="R327" s="9"/>
      <c r="X327" s="1"/>
      <c r="Y327" s="1"/>
    </row>
    <row r="328" spans="1:25" x14ac:dyDescent="0.4">
      <c r="A328" t="s">
        <v>334</v>
      </c>
      <c r="B328" t="s">
        <v>335</v>
      </c>
      <c r="C328" t="s">
        <v>14</v>
      </c>
      <c r="D328" t="s">
        <v>132</v>
      </c>
      <c r="E328" t="s">
        <v>133</v>
      </c>
      <c r="L328" s="1">
        <v>1645000</v>
      </c>
      <c r="M328" s="1">
        <v>1590000</v>
      </c>
      <c r="N328" s="1"/>
      <c r="O328" s="1">
        <v>1052658</v>
      </c>
      <c r="P328" s="1">
        <v>1312083</v>
      </c>
      <c r="Q328" s="1">
        <v>1714900</v>
      </c>
      <c r="R328" s="1">
        <v>1714900</v>
      </c>
      <c r="S328" s="1">
        <v>1550000</v>
      </c>
      <c r="T328" s="1">
        <v>1450000</v>
      </c>
      <c r="U328" s="1">
        <v>1555000</v>
      </c>
      <c r="V328" s="1">
        <v>1114273</v>
      </c>
      <c r="W328" s="1">
        <v>1600000</v>
      </c>
      <c r="X328" s="1"/>
      <c r="Y328" s="1"/>
    </row>
    <row r="329" spans="1:25" x14ac:dyDescent="0.4">
      <c r="A329" t="s">
        <v>334</v>
      </c>
      <c r="B329" t="s">
        <v>335</v>
      </c>
      <c r="C329" t="s">
        <v>14</v>
      </c>
      <c r="D329" t="s">
        <v>135</v>
      </c>
      <c r="E329" t="s">
        <v>136</v>
      </c>
      <c r="L329" s="1">
        <v>15000</v>
      </c>
      <c r="M329" s="1">
        <v>15000</v>
      </c>
      <c r="N329" s="1"/>
      <c r="O329" s="1">
        <v>10980</v>
      </c>
      <c r="P329" s="1">
        <v>20657</v>
      </c>
      <c r="Q329" s="1">
        <v>11000</v>
      </c>
      <c r="R329" s="1">
        <v>11000</v>
      </c>
      <c r="S329" s="1">
        <v>15000</v>
      </c>
      <c r="T329" s="1">
        <v>12000</v>
      </c>
      <c r="U329" s="1">
        <v>25000</v>
      </c>
      <c r="V329" s="1">
        <v>10563</v>
      </c>
      <c r="W329" s="1">
        <v>25000</v>
      </c>
    </row>
    <row r="330" spans="1:25" x14ac:dyDescent="0.4">
      <c r="A330" s="4">
        <v>403</v>
      </c>
      <c r="B330" t="s">
        <v>335</v>
      </c>
      <c r="C330" t="s">
        <v>14</v>
      </c>
      <c r="D330" s="4">
        <v>10200</v>
      </c>
      <c r="E330" t="s">
        <v>227</v>
      </c>
      <c r="L330" s="1"/>
      <c r="M330" s="1"/>
      <c r="N330" s="1"/>
      <c r="O330" s="1"/>
      <c r="P330" s="1"/>
      <c r="Q330" s="1"/>
      <c r="R330" s="1"/>
      <c r="S330" s="1"/>
      <c r="T330" s="1">
        <v>9000</v>
      </c>
      <c r="U330" s="1"/>
      <c r="V330" s="1"/>
    </row>
    <row r="331" spans="1:25" x14ac:dyDescent="0.4">
      <c r="A331" t="s">
        <v>334</v>
      </c>
      <c r="B331" t="s">
        <v>335</v>
      </c>
      <c r="C331" t="s">
        <v>14</v>
      </c>
      <c r="D331" t="s">
        <v>139</v>
      </c>
      <c r="E331" t="s">
        <v>140</v>
      </c>
      <c r="L331" s="1">
        <v>0</v>
      </c>
      <c r="M331" s="1">
        <v>0</v>
      </c>
      <c r="N331" s="1"/>
      <c r="O331" s="1">
        <v>25137</v>
      </c>
      <c r="P331" s="1">
        <v>12240</v>
      </c>
      <c r="Q331" s="1">
        <v>30000</v>
      </c>
      <c r="R331" s="1">
        <v>30000</v>
      </c>
      <c r="S331" s="1">
        <v>20000</v>
      </c>
      <c r="T331" s="1">
        <v>10000</v>
      </c>
      <c r="U331" s="1">
        <v>15000</v>
      </c>
      <c r="V331" s="1">
        <v>8322</v>
      </c>
      <c r="W331" s="1">
        <v>15000</v>
      </c>
    </row>
    <row r="332" spans="1:25" x14ac:dyDescent="0.4">
      <c r="A332" t="s">
        <v>334</v>
      </c>
      <c r="B332" t="s">
        <v>335</v>
      </c>
      <c r="C332" t="s">
        <v>14</v>
      </c>
      <c r="D332" t="s">
        <v>143</v>
      </c>
      <c r="E332" t="s">
        <v>144</v>
      </c>
      <c r="L332" s="1">
        <v>300000</v>
      </c>
      <c r="M332" s="1">
        <v>300000</v>
      </c>
      <c r="N332" s="1"/>
      <c r="O332" s="1">
        <v>153670</v>
      </c>
      <c r="P332" s="1">
        <v>202463</v>
      </c>
      <c r="Q332" s="1">
        <v>312500</v>
      </c>
      <c r="R332" s="1">
        <v>312500</v>
      </c>
      <c r="S332" s="1">
        <v>280000</v>
      </c>
      <c r="T332" s="1">
        <v>270000</v>
      </c>
      <c r="U332" s="1">
        <v>373000</v>
      </c>
      <c r="V332" s="1">
        <v>263738</v>
      </c>
      <c r="W332" s="1">
        <v>385000</v>
      </c>
    </row>
    <row r="333" spans="1:25" x14ac:dyDescent="0.4">
      <c r="A333" t="s">
        <v>334</v>
      </c>
      <c r="B333" t="s">
        <v>335</v>
      </c>
      <c r="C333" t="s">
        <v>14</v>
      </c>
      <c r="D333" t="s">
        <v>145</v>
      </c>
      <c r="E333" t="s">
        <v>146</v>
      </c>
      <c r="L333" s="1">
        <v>4000</v>
      </c>
      <c r="M333" s="1">
        <v>4000</v>
      </c>
      <c r="N333" s="1"/>
      <c r="O333" s="1">
        <v>5160</v>
      </c>
      <c r="P333" s="1">
        <v>4645</v>
      </c>
      <c r="Q333" s="1">
        <v>6000</v>
      </c>
      <c r="R333" s="1">
        <v>6000</v>
      </c>
      <c r="S333" s="1">
        <v>6000</v>
      </c>
      <c r="T333" s="1">
        <v>6000</v>
      </c>
      <c r="U333" s="1">
        <v>7000</v>
      </c>
      <c r="V333" s="1">
        <v>3600</v>
      </c>
      <c r="W333" s="1">
        <v>7000</v>
      </c>
    </row>
    <row r="334" spans="1:25" x14ac:dyDescent="0.4">
      <c r="A334" t="s">
        <v>334</v>
      </c>
      <c r="B334" t="s">
        <v>335</v>
      </c>
      <c r="C334" t="s">
        <v>14</v>
      </c>
      <c r="D334" t="s">
        <v>147</v>
      </c>
      <c r="E334" t="s">
        <v>148</v>
      </c>
      <c r="L334" s="1">
        <v>276000</v>
      </c>
      <c r="M334" s="1">
        <v>270000</v>
      </c>
      <c r="N334" s="1"/>
      <c r="O334" s="1">
        <v>164689</v>
      </c>
      <c r="P334" s="1">
        <v>215119</v>
      </c>
      <c r="Q334" s="1">
        <v>277500</v>
      </c>
      <c r="R334" s="1">
        <v>277500</v>
      </c>
      <c r="S334" s="1">
        <v>255000</v>
      </c>
      <c r="T334" s="1">
        <v>255000</v>
      </c>
      <c r="U334" s="1">
        <v>272000</v>
      </c>
      <c r="V334" s="1">
        <v>193503</v>
      </c>
      <c r="W334" s="1">
        <v>280000</v>
      </c>
    </row>
    <row r="335" spans="1:25" x14ac:dyDescent="0.4">
      <c r="A335" t="s">
        <v>334</v>
      </c>
      <c r="B335" t="s">
        <v>335</v>
      </c>
      <c r="C335" t="s">
        <v>14</v>
      </c>
      <c r="D335" t="s">
        <v>151</v>
      </c>
      <c r="E335" t="s">
        <v>152</v>
      </c>
      <c r="L335" s="1">
        <v>12000</v>
      </c>
      <c r="M335" s="1">
        <v>12000</v>
      </c>
      <c r="N335" s="1"/>
      <c r="O335" s="1">
        <v>9359</v>
      </c>
      <c r="P335" s="1">
        <v>4271</v>
      </c>
      <c r="Q335" s="1">
        <v>10000</v>
      </c>
      <c r="R335" s="1">
        <v>10000</v>
      </c>
      <c r="S335" s="1">
        <v>11000</v>
      </c>
      <c r="T335" s="1">
        <v>5000</v>
      </c>
      <c r="U335" s="1">
        <v>5000</v>
      </c>
      <c r="V335" s="1"/>
      <c r="W335" s="1">
        <v>1000</v>
      </c>
    </row>
    <row r="336" spans="1:25" x14ac:dyDescent="0.4">
      <c r="A336" t="s">
        <v>334</v>
      </c>
      <c r="B336" t="s">
        <v>335</v>
      </c>
      <c r="C336" t="s">
        <v>14</v>
      </c>
      <c r="D336" t="s">
        <v>153</v>
      </c>
      <c r="E336" t="s">
        <v>154</v>
      </c>
      <c r="L336" s="1">
        <v>0</v>
      </c>
      <c r="M336" s="1">
        <v>0</v>
      </c>
      <c r="N336" s="1"/>
      <c r="O336" s="1">
        <v>2</v>
      </c>
      <c r="P336" s="1"/>
      <c r="Q336" s="1"/>
      <c r="V336" s="1">
        <v>-243</v>
      </c>
    </row>
    <row r="337" spans="1:23" x14ac:dyDescent="0.4">
      <c r="A337" t="s">
        <v>334</v>
      </c>
      <c r="B337" t="s">
        <v>335</v>
      </c>
      <c r="C337" t="s">
        <v>14</v>
      </c>
      <c r="D337" t="s">
        <v>155</v>
      </c>
      <c r="E337" t="s">
        <v>156</v>
      </c>
      <c r="L337" s="1">
        <v>0</v>
      </c>
      <c r="M337" s="1">
        <v>0</v>
      </c>
      <c r="N337" s="1"/>
      <c r="O337" s="1">
        <v>891</v>
      </c>
      <c r="P337" s="1"/>
      <c r="Q337" s="1"/>
    </row>
    <row r="338" spans="1:23" x14ac:dyDescent="0.4">
      <c r="A338" s="4">
        <v>403</v>
      </c>
      <c r="B338" t="s">
        <v>335</v>
      </c>
      <c r="C338" t="s">
        <v>14</v>
      </c>
      <c r="D338" s="4">
        <v>11205</v>
      </c>
      <c r="E338" t="s">
        <v>336</v>
      </c>
      <c r="L338" s="1"/>
      <c r="M338" s="1"/>
      <c r="N338" s="1"/>
      <c r="O338" s="1"/>
      <c r="P338" s="1"/>
      <c r="Q338" s="1"/>
      <c r="T338" s="1">
        <v>1500</v>
      </c>
      <c r="V338" s="1">
        <v>5813</v>
      </c>
      <c r="W338" s="1">
        <v>8000</v>
      </c>
    </row>
    <row r="339" spans="1:23" x14ac:dyDescent="0.4">
      <c r="A339" t="s">
        <v>334</v>
      </c>
      <c r="B339" t="s">
        <v>335</v>
      </c>
      <c r="C339" t="s">
        <v>14</v>
      </c>
      <c r="D339" s="4">
        <v>11206</v>
      </c>
      <c r="E339" t="s">
        <v>160</v>
      </c>
      <c r="L339" s="1">
        <v>1000</v>
      </c>
      <c r="M339" s="1">
        <v>1000</v>
      </c>
      <c r="N339" s="1"/>
      <c r="O339" s="1">
        <v>0</v>
      </c>
      <c r="P339" s="1"/>
      <c r="Q339" s="1">
        <v>1000</v>
      </c>
      <c r="R339" s="1">
        <v>1000</v>
      </c>
      <c r="S339" s="1">
        <v>1500</v>
      </c>
      <c r="T339" s="1"/>
      <c r="U339" s="1">
        <v>1500</v>
      </c>
      <c r="V339" s="1">
        <v>-6685</v>
      </c>
    </row>
    <row r="340" spans="1:23" x14ac:dyDescent="0.4">
      <c r="A340" t="s">
        <v>334</v>
      </c>
      <c r="B340" t="s">
        <v>335</v>
      </c>
      <c r="C340" t="s">
        <v>14</v>
      </c>
      <c r="D340" t="s">
        <v>164</v>
      </c>
      <c r="E340" t="s">
        <v>165</v>
      </c>
      <c r="L340" s="1">
        <v>4000</v>
      </c>
      <c r="M340" s="1">
        <v>4000</v>
      </c>
      <c r="N340" s="1"/>
      <c r="O340" s="1">
        <v>-10426</v>
      </c>
      <c r="P340" s="1">
        <v>-8784</v>
      </c>
      <c r="Q340" s="1"/>
      <c r="R340" s="1">
        <v>0</v>
      </c>
      <c r="V340" s="1">
        <v>-6222</v>
      </c>
    </row>
    <row r="341" spans="1:23" x14ac:dyDescent="0.4">
      <c r="A341" t="s">
        <v>334</v>
      </c>
      <c r="B341" t="s">
        <v>335</v>
      </c>
      <c r="C341" t="s">
        <v>14</v>
      </c>
      <c r="D341" t="s">
        <v>167</v>
      </c>
      <c r="E341" t="s">
        <v>168</v>
      </c>
      <c r="L341" s="1">
        <v>4000</v>
      </c>
      <c r="M341" s="1">
        <v>4000</v>
      </c>
      <c r="N341" s="1"/>
      <c r="O341" s="1">
        <v>2650</v>
      </c>
      <c r="P341" s="1"/>
      <c r="Q341" s="1">
        <v>3000</v>
      </c>
      <c r="R341" s="1">
        <v>3000</v>
      </c>
      <c r="S341" s="1">
        <v>4000</v>
      </c>
      <c r="T341" s="1">
        <v>35500</v>
      </c>
      <c r="U341" s="1">
        <v>15000</v>
      </c>
      <c r="V341" s="1"/>
      <c r="W341" s="1">
        <v>4000</v>
      </c>
    </row>
    <row r="342" spans="1:23" x14ac:dyDescent="0.4">
      <c r="A342" t="s">
        <v>334</v>
      </c>
      <c r="B342" t="s">
        <v>335</v>
      </c>
      <c r="C342" t="s">
        <v>14</v>
      </c>
      <c r="D342" t="s">
        <v>169</v>
      </c>
      <c r="E342" t="s">
        <v>170</v>
      </c>
      <c r="L342" s="1">
        <v>10000</v>
      </c>
      <c r="M342" s="1">
        <v>10000</v>
      </c>
      <c r="N342" s="1"/>
      <c r="O342" s="1">
        <v>0</v>
      </c>
      <c r="P342" s="1">
        <v>1700</v>
      </c>
      <c r="Q342" s="1"/>
      <c r="R342" s="1">
        <v>0</v>
      </c>
      <c r="T342" s="1">
        <v>4000</v>
      </c>
      <c r="U342" s="1">
        <v>3000</v>
      </c>
      <c r="V342" s="1">
        <v>1250</v>
      </c>
      <c r="W342" s="1">
        <v>3000</v>
      </c>
    </row>
    <row r="343" spans="1:23" x14ac:dyDescent="0.4">
      <c r="A343" t="s">
        <v>334</v>
      </c>
      <c r="B343" t="s">
        <v>335</v>
      </c>
      <c r="C343" t="s">
        <v>14</v>
      </c>
      <c r="D343" t="s">
        <v>300</v>
      </c>
      <c r="E343" t="s">
        <v>301</v>
      </c>
      <c r="L343" s="1">
        <v>3000</v>
      </c>
      <c r="M343" s="1">
        <v>3000</v>
      </c>
      <c r="N343" s="1"/>
      <c r="O343" s="1">
        <v>898</v>
      </c>
      <c r="P343" s="1"/>
      <c r="Q343" s="1">
        <v>2000</v>
      </c>
      <c r="R343" s="1">
        <v>2000</v>
      </c>
      <c r="S343" s="1">
        <v>3000</v>
      </c>
      <c r="T343" s="1"/>
    </row>
    <row r="344" spans="1:23" x14ac:dyDescent="0.4">
      <c r="A344" t="s">
        <v>334</v>
      </c>
      <c r="B344" t="s">
        <v>335</v>
      </c>
      <c r="C344" t="s">
        <v>14</v>
      </c>
      <c r="D344" t="s">
        <v>171</v>
      </c>
      <c r="E344" t="s">
        <v>172</v>
      </c>
      <c r="L344" s="1">
        <v>0</v>
      </c>
      <c r="M344" s="1">
        <v>0</v>
      </c>
      <c r="N344" s="1"/>
      <c r="O344" s="1">
        <v>5290</v>
      </c>
      <c r="P344" s="1"/>
      <c r="Q344" s="1"/>
      <c r="R344" s="1">
        <v>0</v>
      </c>
      <c r="T344">
        <v>8000</v>
      </c>
    </row>
    <row r="345" spans="1:23" x14ac:dyDescent="0.4">
      <c r="A345" t="s">
        <v>334</v>
      </c>
      <c r="B345" t="s">
        <v>335</v>
      </c>
      <c r="C345" t="s">
        <v>14</v>
      </c>
      <c r="D345" t="s">
        <v>174</v>
      </c>
      <c r="E345" t="s">
        <v>175</v>
      </c>
      <c r="L345" s="1">
        <v>0</v>
      </c>
      <c r="M345" s="1">
        <v>0</v>
      </c>
      <c r="N345" s="1"/>
      <c r="O345" s="1">
        <v>263</v>
      </c>
      <c r="P345" s="1"/>
      <c r="Q345" s="1"/>
      <c r="V345" s="1">
        <v>2213</v>
      </c>
      <c r="W345">
        <v>3000</v>
      </c>
    </row>
    <row r="346" spans="1:23" x14ac:dyDescent="0.4">
      <c r="A346" t="s">
        <v>334</v>
      </c>
      <c r="B346" t="s">
        <v>335</v>
      </c>
      <c r="C346" t="s">
        <v>14</v>
      </c>
      <c r="D346" t="s">
        <v>176</v>
      </c>
      <c r="E346" t="s">
        <v>177</v>
      </c>
      <c r="L346" s="1">
        <v>0</v>
      </c>
      <c r="M346" s="1">
        <v>0</v>
      </c>
      <c r="N346" s="1"/>
      <c r="O346" s="1">
        <v>-5160</v>
      </c>
      <c r="P346" s="1">
        <v>-4645</v>
      </c>
      <c r="Q346" s="1"/>
      <c r="V346" s="1">
        <v>-3600</v>
      </c>
    </row>
    <row r="347" spans="1:23" x14ac:dyDescent="0.4">
      <c r="A347" t="s">
        <v>334</v>
      </c>
      <c r="B347" t="s">
        <v>335</v>
      </c>
      <c r="C347" t="s">
        <v>14</v>
      </c>
      <c r="D347" t="s">
        <v>182</v>
      </c>
      <c r="E347" t="s">
        <v>183</v>
      </c>
      <c r="L347" s="1">
        <v>2000</v>
      </c>
      <c r="M347" s="1">
        <v>2000</v>
      </c>
      <c r="N347" s="1"/>
      <c r="O347" s="1">
        <v>0</v>
      </c>
      <c r="P347" s="1"/>
      <c r="Q347" s="1">
        <v>5000</v>
      </c>
      <c r="R347" s="1">
        <v>5000</v>
      </c>
      <c r="S347" s="1">
        <v>6000</v>
      </c>
      <c r="T347" s="1">
        <v>6000</v>
      </c>
      <c r="U347" s="1">
        <v>0</v>
      </c>
      <c r="V347" s="1"/>
    </row>
    <row r="348" spans="1:23" x14ac:dyDescent="0.4">
      <c r="A348" t="s">
        <v>334</v>
      </c>
      <c r="B348" t="s">
        <v>335</v>
      </c>
      <c r="C348" t="s">
        <v>14</v>
      </c>
      <c r="D348" t="s">
        <v>190</v>
      </c>
      <c r="E348" t="s">
        <v>247</v>
      </c>
      <c r="L348" s="1">
        <v>0</v>
      </c>
      <c r="M348" s="1">
        <v>0</v>
      </c>
      <c r="N348" s="1"/>
      <c r="O348" s="1">
        <v>5000</v>
      </c>
      <c r="P348" s="1"/>
      <c r="Q348" s="1">
        <v>4000</v>
      </c>
      <c r="R348" s="1">
        <v>4000</v>
      </c>
      <c r="S348" s="1">
        <v>5000</v>
      </c>
      <c r="T348" s="1">
        <v>1000</v>
      </c>
      <c r="U348" s="1">
        <v>0</v>
      </c>
      <c r="V348" s="1"/>
    </row>
    <row r="349" spans="1:23" x14ac:dyDescent="0.4">
      <c r="A349" s="4">
        <v>403</v>
      </c>
      <c r="B349" t="s">
        <v>335</v>
      </c>
      <c r="C349" t="s">
        <v>14</v>
      </c>
      <c r="D349" s="4">
        <v>13500</v>
      </c>
      <c r="E349" t="s">
        <v>10</v>
      </c>
      <c r="L349" s="1"/>
      <c r="M349" s="1"/>
      <c r="N349" s="1"/>
      <c r="O349" s="1"/>
      <c r="P349" s="1"/>
      <c r="Q349" s="1"/>
      <c r="R349" s="1"/>
      <c r="S349" s="1"/>
      <c r="T349" s="1">
        <v>200000</v>
      </c>
      <c r="U349" s="1">
        <v>200000</v>
      </c>
      <c r="V349" s="1">
        <v>200000</v>
      </c>
      <c r="W349" s="1">
        <v>200000</v>
      </c>
    </row>
    <row r="350" spans="1:23" x14ac:dyDescent="0.4">
      <c r="A350" t="s">
        <v>334</v>
      </c>
      <c r="B350" t="s">
        <v>335</v>
      </c>
      <c r="C350" t="s">
        <v>14</v>
      </c>
      <c r="D350" t="s">
        <v>195</v>
      </c>
      <c r="E350" t="s">
        <v>11</v>
      </c>
      <c r="L350" s="1">
        <v>8000</v>
      </c>
      <c r="M350" s="1">
        <v>8000</v>
      </c>
      <c r="N350" s="1"/>
      <c r="O350" s="1">
        <v>305</v>
      </c>
      <c r="P350" s="1">
        <v>-2196</v>
      </c>
      <c r="Q350" s="1">
        <v>8000</v>
      </c>
      <c r="R350" s="1">
        <v>8000</v>
      </c>
      <c r="S350" s="1">
        <v>10000</v>
      </c>
      <c r="T350" s="1">
        <v>10000</v>
      </c>
      <c r="U350" s="1">
        <v>7000</v>
      </c>
      <c r="V350" s="1">
        <v>1360</v>
      </c>
      <c r="W350" s="1">
        <v>6000</v>
      </c>
    </row>
    <row r="351" spans="1:23" x14ac:dyDescent="0.4">
      <c r="A351" s="4">
        <v>403</v>
      </c>
      <c r="B351" t="s">
        <v>335</v>
      </c>
      <c r="C351" t="s">
        <v>14</v>
      </c>
      <c r="D351" s="4">
        <v>15400</v>
      </c>
      <c r="E351" t="s">
        <v>12</v>
      </c>
      <c r="L351" s="1"/>
      <c r="M351" s="1"/>
      <c r="N351" s="1"/>
      <c r="O351" s="1"/>
      <c r="P351" s="1"/>
      <c r="Q351" s="1"/>
      <c r="R351" s="1"/>
      <c r="S351" s="1">
        <v>200000</v>
      </c>
      <c r="T351" s="1"/>
      <c r="U351" s="1">
        <v>0</v>
      </c>
      <c r="V351" s="1"/>
    </row>
    <row r="352" spans="1:23" x14ac:dyDescent="0.4">
      <c r="A352" s="4">
        <v>403</v>
      </c>
      <c r="B352" t="s">
        <v>335</v>
      </c>
      <c r="C352" t="s">
        <v>14</v>
      </c>
      <c r="D352" s="4">
        <v>15500</v>
      </c>
      <c r="E352" t="s">
        <v>58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3" x14ac:dyDescent="0.4">
      <c r="A353" s="6">
        <v>403</v>
      </c>
      <c r="B353" s="2" t="s">
        <v>14</v>
      </c>
      <c r="C353" s="2"/>
      <c r="D353" s="2"/>
      <c r="E353" s="2"/>
      <c r="F353" s="2"/>
      <c r="G353" s="2"/>
      <c r="H353" s="2"/>
      <c r="I353" s="2"/>
      <c r="J353" s="2"/>
      <c r="K353" s="2"/>
      <c r="L353" s="3">
        <f>SUM(L328:L350)</f>
        <v>2284000</v>
      </c>
      <c r="M353" s="3">
        <f>SUM(M328:M350)</f>
        <v>2223000</v>
      </c>
      <c r="N353" s="3"/>
      <c r="O353" s="3">
        <f>SUM(O328:O350)</f>
        <v>1421366</v>
      </c>
      <c r="P353" s="3">
        <f>SUM(P328:P350)</f>
        <v>1757553</v>
      </c>
      <c r="Q353" s="3">
        <f>SUM(Q328:Q350)</f>
        <v>2384900</v>
      </c>
      <c r="R353" s="3">
        <f>SUM(R328:R350)</f>
        <v>2384900</v>
      </c>
      <c r="S353" s="3">
        <f>SUM(S328:S352)</f>
        <v>2366500</v>
      </c>
      <c r="T353" s="3">
        <f>SUM(T328:T352)</f>
        <v>2283000</v>
      </c>
      <c r="U353" s="3">
        <f>SUM(U328:U351)</f>
        <v>2478500</v>
      </c>
      <c r="V353" s="3">
        <f>SUM(V328:V351)</f>
        <v>1787885</v>
      </c>
      <c r="W353" s="3">
        <f>SUM(W328:W351)</f>
        <v>2537000</v>
      </c>
    </row>
    <row r="354" spans="1:23" x14ac:dyDescent="0.4">
      <c r="L354" s="1"/>
      <c r="M354" s="1"/>
      <c r="N354" s="1"/>
      <c r="O354" s="1"/>
      <c r="P354" s="1"/>
      <c r="Q354" s="1"/>
    </row>
    <row r="355" spans="1:23" x14ac:dyDescent="0.4">
      <c r="L355" s="1"/>
      <c r="M355" s="1"/>
      <c r="N355" s="1"/>
      <c r="O355" s="1"/>
      <c r="P355" s="1"/>
      <c r="Q355" s="1"/>
    </row>
    <row r="356" spans="1:23" x14ac:dyDescent="0.4">
      <c r="A356" t="s">
        <v>334</v>
      </c>
      <c r="B356" t="s">
        <v>335</v>
      </c>
      <c r="C356" t="s">
        <v>26</v>
      </c>
      <c r="D356" t="s">
        <v>337</v>
      </c>
      <c r="E356" t="s">
        <v>338</v>
      </c>
      <c r="L356" s="1">
        <v>-350000</v>
      </c>
      <c r="M356" s="1">
        <v>-350000</v>
      </c>
      <c r="N356" s="1"/>
      <c r="O356" s="1">
        <v>0</v>
      </c>
      <c r="P356" s="1"/>
      <c r="Q356" s="1"/>
    </row>
    <row r="357" spans="1:23" x14ac:dyDescent="0.4">
      <c r="A357" s="4">
        <v>403</v>
      </c>
      <c r="B357" t="s">
        <v>335</v>
      </c>
      <c r="C357" t="s">
        <v>26</v>
      </c>
      <c r="D357" s="4">
        <v>17000</v>
      </c>
      <c r="E357" t="s">
        <v>203</v>
      </c>
      <c r="L357" s="1"/>
      <c r="M357" s="1"/>
      <c r="N357" s="1"/>
      <c r="O357" s="1"/>
      <c r="P357" s="1"/>
      <c r="Q357" s="1"/>
      <c r="T357" s="1"/>
      <c r="U357" s="1"/>
      <c r="V357" s="1"/>
    </row>
    <row r="358" spans="1:23" x14ac:dyDescent="0.4">
      <c r="A358" t="s">
        <v>334</v>
      </c>
      <c r="B358" t="s">
        <v>335</v>
      </c>
      <c r="C358" t="s">
        <v>26</v>
      </c>
      <c r="D358" t="s">
        <v>205</v>
      </c>
      <c r="E358" t="s">
        <v>206</v>
      </c>
      <c r="L358" s="1">
        <v>0</v>
      </c>
      <c r="M358" s="1">
        <v>0</v>
      </c>
      <c r="N358" s="1"/>
      <c r="O358" s="1">
        <v>-4384</v>
      </c>
      <c r="P358" s="1">
        <v>-15301</v>
      </c>
      <c r="Q358" s="1"/>
      <c r="T358" s="1">
        <v>-26000</v>
      </c>
      <c r="U358" s="1"/>
      <c r="V358" s="1">
        <v>-23338</v>
      </c>
      <c r="W358">
        <v>-25000</v>
      </c>
    </row>
    <row r="359" spans="1:23" x14ac:dyDescent="0.4">
      <c r="A359" t="s">
        <v>334</v>
      </c>
      <c r="B359" t="s">
        <v>335</v>
      </c>
      <c r="C359" t="s">
        <v>26</v>
      </c>
      <c r="D359" t="s">
        <v>207</v>
      </c>
      <c r="E359" t="s">
        <v>208</v>
      </c>
      <c r="L359" s="1">
        <v>-8000</v>
      </c>
      <c r="M359" s="1">
        <v>-8000</v>
      </c>
      <c r="N359" s="1"/>
      <c r="O359" s="1">
        <v>-304</v>
      </c>
      <c r="P359" s="1"/>
      <c r="Q359" s="1"/>
      <c r="S359">
        <v>-10000</v>
      </c>
      <c r="T359" s="1">
        <v>-10000</v>
      </c>
      <c r="U359" s="1"/>
      <c r="V359" s="1">
        <v>-1360</v>
      </c>
      <c r="W359" s="1">
        <v>-6000</v>
      </c>
    </row>
    <row r="360" spans="1:23" x14ac:dyDescent="0.4">
      <c r="A360" t="s">
        <v>334</v>
      </c>
      <c r="B360" t="s">
        <v>335</v>
      </c>
      <c r="C360" t="s">
        <v>26</v>
      </c>
      <c r="D360" t="s">
        <v>209</v>
      </c>
      <c r="E360" t="s">
        <v>210</v>
      </c>
      <c r="L360" s="1">
        <v>-5000</v>
      </c>
      <c r="M360" s="1">
        <v>-5000</v>
      </c>
      <c r="N360" s="1"/>
      <c r="O360" s="1">
        <v>0</v>
      </c>
      <c r="P360" s="1"/>
      <c r="Q360" s="1"/>
      <c r="T360" s="1"/>
      <c r="U360" s="1"/>
      <c r="V360" s="1"/>
    </row>
    <row r="361" spans="1:23" x14ac:dyDescent="0.4">
      <c r="A361" t="s">
        <v>334</v>
      </c>
      <c r="B361" t="s">
        <v>335</v>
      </c>
      <c r="C361" t="s">
        <v>26</v>
      </c>
      <c r="D361" t="s">
        <v>211</v>
      </c>
      <c r="E361" t="s">
        <v>212</v>
      </c>
      <c r="L361" s="1">
        <v>-9000</v>
      </c>
      <c r="M361" s="1">
        <v>-9000</v>
      </c>
      <c r="N361" s="1"/>
      <c r="O361" s="1">
        <v>-816</v>
      </c>
      <c r="P361" s="1">
        <v>-799</v>
      </c>
      <c r="Q361" s="1"/>
      <c r="T361" s="1">
        <v>-1000</v>
      </c>
      <c r="U361" s="1"/>
      <c r="V361" s="1">
        <v>-544</v>
      </c>
      <c r="W361">
        <v>-1000</v>
      </c>
    </row>
    <row r="362" spans="1:23" x14ac:dyDescent="0.4">
      <c r="A362" s="4">
        <v>403</v>
      </c>
      <c r="B362" t="s">
        <v>339</v>
      </c>
      <c r="C362" t="s">
        <v>26</v>
      </c>
      <c r="D362" s="4">
        <v>18000</v>
      </c>
      <c r="E362" t="s">
        <v>20</v>
      </c>
      <c r="L362" s="1"/>
      <c r="M362" s="1"/>
      <c r="N362" s="1"/>
      <c r="O362" s="1"/>
      <c r="P362" s="1">
        <v>-33300</v>
      </c>
      <c r="Q362" s="1"/>
    </row>
    <row r="363" spans="1:23" x14ac:dyDescent="0.4">
      <c r="A363" s="4">
        <v>403</v>
      </c>
      <c r="B363" t="s">
        <v>335</v>
      </c>
      <c r="C363" t="s">
        <v>26</v>
      </c>
      <c r="D363" s="4">
        <v>18050</v>
      </c>
      <c r="E363" t="s">
        <v>340</v>
      </c>
      <c r="L363" s="1"/>
      <c r="M363" s="1"/>
      <c r="N363" s="1"/>
      <c r="O363" s="1">
        <v>-339650</v>
      </c>
      <c r="P363" s="1">
        <v>-200000</v>
      </c>
      <c r="Q363" s="1">
        <v>-350000</v>
      </c>
      <c r="R363" s="1">
        <v>-350000</v>
      </c>
      <c r="S363" s="1">
        <v>-370000</v>
      </c>
      <c r="T363" s="1">
        <v>-370000</v>
      </c>
      <c r="U363" s="40">
        <v>-385000</v>
      </c>
      <c r="V363" s="40">
        <v>-250000</v>
      </c>
      <c r="W363" s="1">
        <v>-400000</v>
      </c>
    </row>
    <row r="364" spans="1:23" x14ac:dyDescent="0.4">
      <c r="A364" t="s">
        <v>334</v>
      </c>
      <c r="B364" t="s">
        <v>335</v>
      </c>
      <c r="C364" t="s">
        <v>26</v>
      </c>
      <c r="D364" t="s">
        <v>218</v>
      </c>
      <c r="E364" t="s">
        <v>219</v>
      </c>
      <c r="L364" s="1">
        <v>-1912000</v>
      </c>
      <c r="M364" s="1">
        <v>-1912000</v>
      </c>
      <c r="N364" s="1"/>
      <c r="O364" s="1">
        <v>-1912000</v>
      </c>
      <c r="P364" s="1">
        <v>-1830000</v>
      </c>
      <c r="Q364" s="1">
        <v>-1830000</v>
      </c>
      <c r="R364" s="1">
        <v>-1830000</v>
      </c>
      <c r="S364" s="1">
        <v>-1776000</v>
      </c>
      <c r="T364" s="1">
        <v>-1776000</v>
      </c>
      <c r="U364" s="40">
        <v>-1869350</v>
      </c>
      <c r="V364" s="40">
        <v>-1877750</v>
      </c>
      <c r="W364" s="1">
        <v>-1877500</v>
      </c>
    </row>
    <row r="365" spans="1:23" x14ac:dyDescent="0.4">
      <c r="A365" s="4">
        <v>403</v>
      </c>
      <c r="B365" t="s">
        <v>335</v>
      </c>
      <c r="C365" t="s">
        <v>26</v>
      </c>
      <c r="D365" s="4">
        <v>18700</v>
      </c>
      <c r="E365" t="s">
        <v>341</v>
      </c>
      <c r="L365" s="1"/>
      <c r="M365" s="1"/>
      <c r="N365" s="1"/>
      <c r="O365" s="1"/>
      <c r="P365" s="1"/>
      <c r="Q365" s="1"/>
      <c r="R365" s="1"/>
      <c r="S365" s="1"/>
      <c r="T365" s="1"/>
      <c r="U365" s="40"/>
      <c r="V365" s="40"/>
    </row>
    <row r="366" spans="1:23" x14ac:dyDescent="0.4">
      <c r="A366" s="4">
        <v>403</v>
      </c>
      <c r="B366" t="s">
        <v>335</v>
      </c>
      <c r="C366" t="s">
        <v>26</v>
      </c>
      <c r="D366" s="4">
        <v>19400</v>
      </c>
      <c r="E366" t="s">
        <v>333</v>
      </c>
      <c r="L366" s="1"/>
      <c r="M366" s="1"/>
      <c r="N366" s="1"/>
      <c r="O366" s="1"/>
      <c r="P366" s="1"/>
      <c r="Q366" s="1">
        <v>-134900</v>
      </c>
      <c r="R366" s="32">
        <v>-134900</v>
      </c>
      <c r="S366" s="1">
        <v>-210500</v>
      </c>
      <c r="T366" s="1">
        <v>-100000</v>
      </c>
    </row>
    <row r="367" spans="1:23" x14ac:dyDescent="0.4">
      <c r="A367" s="4">
        <v>403</v>
      </c>
      <c r="B367" t="s">
        <v>335</v>
      </c>
      <c r="C367" t="s">
        <v>26</v>
      </c>
      <c r="D367" s="4">
        <v>19500</v>
      </c>
      <c r="E367" t="s">
        <v>77</v>
      </c>
      <c r="L367" s="1"/>
      <c r="M367" s="1"/>
      <c r="N367" s="1"/>
      <c r="O367" s="1"/>
      <c r="P367" s="37"/>
      <c r="Q367" s="1"/>
      <c r="R367" s="1"/>
      <c r="S367" s="1"/>
      <c r="T367" s="1"/>
      <c r="U367" s="1">
        <v>0</v>
      </c>
      <c r="V367" s="1"/>
    </row>
    <row r="368" spans="1:23" x14ac:dyDescent="0.4">
      <c r="A368" s="6">
        <v>403</v>
      </c>
      <c r="B368" s="2" t="s">
        <v>26</v>
      </c>
      <c r="C368" s="2"/>
      <c r="D368" s="2"/>
      <c r="E368" s="2"/>
      <c r="F368" s="2"/>
      <c r="G368" s="2"/>
      <c r="H368" s="2"/>
      <c r="I368" s="2"/>
      <c r="J368" s="2"/>
      <c r="K368" s="2"/>
      <c r="L368" s="3">
        <f>SUM(L356:L364)</f>
        <v>-2284000</v>
      </c>
      <c r="M368" s="3">
        <f>SUM(M356:M364)</f>
        <v>-2284000</v>
      </c>
      <c r="N368" s="3"/>
      <c r="O368" s="3">
        <f>SUM(O356:O364)</f>
        <v>-2257154</v>
      </c>
      <c r="P368" s="3">
        <f t="shared" ref="P368:W368" si="11">SUM(P356:P367)</f>
        <v>-2079400</v>
      </c>
      <c r="Q368" s="3">
        <f t="shared" si="11"/>
        <v>-2314900</v>
      </c>
      <c r="R368" s="3">
        <f t="shared" si="11"/>
        <v>-2314900</v>
      </c>
      <c r="S368" s="3">
        <f t="shared" si="11"/>
        <v>-2366500</v>
      </c>
      <c r="T368" s="3">
        <f t="shared" si="11"/>
        <v>-2283000</v>
      </c>
      <c r="U368" s="3">
        <f t="shared" si="11"/>
        <v>-2254350</v>
      </c>
      <c r="V368" s="3">
        <f t="shared" si="11"/>
        <v>-2152992</v>
      </c>
      <c r="W368" s="3">
        <f t="shared" si="11"/>
        <v>-2309500</v>
      </c>
    </row>
    <row r="369" spans="1:23" x14ac:dyDescent="0.4">
      <c r="A369" s="4"/>
      <c r="L369" s="1"/>
      <c r="M369" s="1"/>
      <c r="N369" s="1"/>
      <c r="O369" s="1"/>
      <c r="P369" s="1"/>
      <c r="Q369" s="1"/>
      <c r="R369" s="9"/>
    </row>
    <row r="370" spans="1:23" x14ac:dyDescent="0.4">
      <c r="A370" s="4">
        <v>404</v>
      </c>
      <c r="B370" t="s">
        <v>342</v>
      </c>
      <c r="C370" t="s">
        <v>14</v>
      </c>
      <c r="D370" s="4">
        <v>10500</v>
      </c>
      <c r="E370" t="s">
        <v>312</v>
      </c>
      <c r="L370" s="1"/>
      <c r="M370" s="1"/>
      <c r="N370" s="1"/>
      <c r="O370" s="1"/>
      <c r="P370" s="1"/>
      <c r="Q370" s="1"/>
      <c r="R370" s="9"/>
      <c r="W370">
        <v>188061</v>
      </c>
    </row>
    <row r="371" spans="1:23" x14ac:dyDescent="0.4">
      <c r="A371" s="4">
        <v>404</v>
      </c>
      <c r="B371" t="s">
        <v>342</v>
      </c>
      <c r="C371" t="s">
        <v>14</v>
      </c>
      <c r="D371" s="4">
        <v>10990</v>
      </c>
      <c r="E371" t="s">
        <v>148</v>
      </c>
      <c r="L371" s="1"/>
      <c r="M371" s="1"/>
      <c r="N371" s="1"/>
      <c r="O371" s="1"/>
      <c r="P371" s="1"/>
      <c r="Q371" s="1"/>
      <c r="R371" s="9"/>
      <c r="V371" s="1"/>
    </row>
    <row r="372" spans="1:23" x14ac:dyDescent="0.4">
      <c r="A372" s="4">
        <v>404</v>
      </c>
      <c r="B372" t="s">
        <v>342</v>
      </c>
      <c r="C372" t="s">
        <v>14</v>
      </c>
      <c r="D372" s="4">
        <v>11000</v>
      </c>
      <c r="E372" t="s">
        <v>150</v>
      </c>
      <c r="L372" s="1"/>
      <c r="M372" s="1"/>
      <c r="N372" s="1"/>
      <c r="O372" s="1"/>
      <c r="P372" s="1"/>
      <c r="Q372" s="1"/>
      <c r="R372" s="9"/>
      <c r="V372" s="1"/>
    </row>
    <row r="373" spans="1:23" x14ac:dyDescent="0.4">
      <c r="A373" s="4">
        <v>404</v>
      </c>
      <c r="B373" t="s">
        <v>342</v>
      </c>
      <c r="C373" t="s">
        <v>14</v>
      </c>
      <c r="D373" s="4">
        <v>11100</v>
      </c>
      <c r="E373" t="s">
        <v>343</v>
      </c>
      <c r="L373" s="1"/>
      <c r="M373" s="1"/>
      <c r="N373" s="1"/>
      <c r="O373" s="1"/>
      <c r="P373" s="1"/>
      <c r="Q373" s="1"/>
      <c r="R373" s="9"/>
      <c r="V373" s="1">
        <v>11053</v>
      </c>
      <c r="W373">
        <v>20000</v>
      </c>
    </row>
    <row r="374" spans="1:23" x14ac:dyDescent="0.4">
      <c r="A374" s="4">
        <v>404</v>
      </c>
      <c r="B374" t="s">
        <v>342</v>
      </c>
      <c r="C374" t="s">
        <v>14</v>
      </c>
      <c r="D374" s="4">
        <v>11400</v>
      </c>
      <c r="E374" t="s">
        <v>168</v>
      </c>
      <c r="L374" s="1"/>
      <c r="M374" s="1"/>
      <c r="N374" s="1"/>
      <c r="O374" s="1"/>
      <c r="P374" s="1"/>
      <c r="Q374" s="1"/>
      <c r="R374" s="9"/>
      <c r="V374" s="1">
        <v>56824</v>
      </c>
      <c r="W374">
        <v>60000</v>
      </c>
    </row>
    <row r="375" spans="1:23" x14ac:dyDescent="0.4">
      <c r="A375" s="4">
        <v>404</v>
      </c>
      <c r="B375" t="s">
        <v>342</v>
      </c>
      <c r="C375" t="s">
        <v>14</v>
      </c>
      <c r="D375" s="4">
        <v>12000</v>
      </c>
      <c r="E375" t="s">
        <v>183</v>
      </c>
      <c r="L375" s="1"/>
      <c r="M375" s="1"/>
      <c r="N375" s="1"/>
      <c r="O375" s="1"/>
      <c r="P375" s="1"/>
      <c r="Q375" s="1"/>
      <c r="R375" s="9"/>
      <c r="V375" s="1">
        <v>3108</v>
      </c>
      <c r="W375">
        <v>4000</v>
      </c>
    </row>
    <row r="376" spans="1:23" x14ac:dyDescent="0.4">
      <c r="A376" s="4">
        <v>404</v>
      </c>
      <c r="B376" t="s">
        <v>342</v>
      </c>
      <c r="C376" t="s">
        <v>14</v>
      </c>
      <c r="D376" s="4">
        <v>14290</v>
      </c>
      <c r="E376" t="s">
        <v>11</v>
      </c>
      <c r="L376" s="1"/>
      <c r="M376" s="1"/>
      <c r="N376" s="1"/>
      <c r="O376" s="1"/>
      <c r="P376" s="1"/>
      <c r="Q376" s="1"/>
      <c r="R376" s="9"/>
      <c r="V376" s="1">
        <v>17746</v>
      </c>
      <c r="W376">
        <v>20000</v>
      </c>
    </row>
    <row r="377" spans="1:23" x14ac:dyDescent="0.4">
      <c r="A377" s="6">
        <v>404</v>
      </c>
      <c r="B377" s="2" t="s">
        <v>14</v>
      </c>
      <c r="C377" s="2"/>
      <c r="D377" s="2"/>
      <c r="E377" s="2"/>
      <c r="F377" s="2"/>
      <c r="G377" s="2"/>
      <c r="H377" s="2"/>
      <c r="I377" s="2"/>
      <c r="J377" s="2"/>
      <c r="K377" s="2"/>
      <c r="L377" s="3"/>
      <c r="M377" s="3"/>
      <c r="N377" s="3"/>
      <c r="O377" s="3"/>
      <c r="P377" s="3"/>
      <c r="Q377" s="3"/>
      <c r="R377" s="43"/>
      <c r="S377" s="2"/>
      <c r="T377" s="2"/>
      <c r="U377" s="2"/>
      <c r="V377" s="3">
        <f>SUM(V370:V376)</f>
        <v>88731</v>
      </c>
      <c r="W377" s="3">
        <f>SUM(W370:W376)</f>
        <v>292061</v>
      </c>
    </row>
    <row r="378" spans="1:23" x14ac:dyDescent="0.4">
      <c r="A378" s="4"/>
      <c r="L378" s="1"/>
      <c r="M378" s="1"/>
      <c r="N378" s="1"/>
      <c r="O378" s="1"/>
      <c r="P378" s="1"/>
      <c r="Q378" s="1"/>
      <c r="R378" s="9"/>
      <c r="V378" s="1"/>
    </row>
    <row r="379" spans="1:23" x14ac:dyDescent="0.4">
      <c r="A379" s="4">
        <v>404</v>
      </c>
      <c r="B379" t="s">
        <v>342</v>
      </c>
      <c r="C379" t="s">
        <v>26</v>
      </c>
      <c r="D379" s="4">
        <v>17290</v>
      </c>
      <c r="E379" t="s">
        <v>208</v>
      </c>
      <c r="L379" s="1"/>
      <c r="M379" s="1"/>
      <c r="N379" s="1"/>
      <c r="O379" s="1"/>
      <c r="P379" s="1"/>
      <c r="Q379" s="1"/>
      <c r="R379" s="9"/>
      <c r="V379" s="1">
        <v>-17746</v>
      </c>
      <c r="W379">
        <v>-20000</v>
      </c>
    </row>
    <row r="380" spans="1:23" x14ac:dyDescent="0.4">
      <c r="A380" s="4">
        <v>404</v>
      </c>
      <c r="B380" t="s">
        <v>342</v>
      </c>
      <c r="C380" t="s">
        <v>26</v>
      </c>
      <c r="D380" s="4">
        <v>18050</v>
      </c>
      <c r="E380" t="s">
        <v>61</v>
      </c>
      <c r="L380" s="1"/>
      <c r="M380" s="1"/>
      <c r="N380" s="1"/>
      <c r="O380" s="1"/>
      <c r="P380" s="1"/>
      <c r="Q380" s="1"/>
      <c r="R380" s="9"/>
      <c r="V380" s="1">
        <v>-272061</v>
      </c>
      <c r="W380">
        <v>-272061</v>
      </c>
    </row>
    <row r="381" spans="1:23" x14ac:dyDescent="0.4">
      <c r="A381" s="6">
        <v>404</v>
      </c>
      <c r="B381" s="2" t="s">
        <v>26</v>
      </c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3">
        <f>SUM(V379:V380)</f>
        <v>-289807</v>
      </c>
      <c r="W381" s="3">
        <f>SUM(W379:W380)</f>
        <v>-292061</v>
      </c>
    </row>
    <row r="382" spans="1:23" x14ac:dyDescent="0.4">
      <c r="L382" s="1"/>
      <c r="M382" s="1"/>
      <c r="N382" s="1"/>
      <c r="O382" s="1"/>
      <c r="P382" s="1"/>
      <c r="Q382" s="1"/>
    </row>
    <row r="383" spans="1:23" x14ac:dyDescent="0.4">
      <c r="A383" t="s">
        <v>344</v>
      </c>
      <c r="B383" t="s">
        <v>345</v>
      </c>
      <c r="C383" t="s">
        <v>14</v>
      </c>
      <c r="D383" t="s">
        <v>132</v>
      </c>
      <c r="E383" t="s">
        <v>133</v>
      </c>
      <c r="L383" s="1">
        <v>2850000</v>
      </c>
      <c r="M383" s="1">
        <v>2850000</v>
      </c>
      <c r="N383" s="1"/>
      <c r="O383" s="1">
        <v>1523754</v>
      </c>
      <c r="P383" s="1">
        <v>1142147</v>
      </c>
      <c r="Q383" s="1">
        <v>1400000</v>
      </c>
      <c r="R383" s="1">
        <v>1500000</v>
      </c>
      <c r="S383" s="1">
        <v>1350000</v>
      </c>
      <c r="T383" s="1">
        <v>1350000</v>
      </c>
      <c r="U383" s="1">
        <v>1400000</v>
      </c>
      <c r="V383" s="1">
        <v>1067620</v>
      </c>
      <c r="W383" s="1">
        <v>1200000</v>
      </c>
    </row>
    <row r="384" spans="1:23" x14ac:dyDescent="0.4">
      <c r="A384" t="s">
        <v>344</v>
      </c>
      <c r="B384" t="s">
        <v>346</v>
      </c>
      <c r="C384" t="s">
        <v>14</v>
      </c>
      <c r="D384" t="s">
        <v>135</v>
      </c>
      <c r="E384" t="s">
        <v>136</v>
      </c>
      <c r="L384" s="1">
        <v>50000</v>
      </c>
      <c r="M384" s="1">
        <v>50000</v>
      </c>
      <c r="N384" s="1"/>
      <c r="O384" s="1">
        <v>19314</v>
      </c>
      <c r="P384" s="1">
        <v>10887</v>
      </c>
      <c r="Q384" s="1">
        <v>25000</v>
      </c>
      <c r="R384" s="1">
        <v>25000</v>
      </c>
      <c r="S384" s="1">
        <v>25000</v>
      </c>
      <c r="T384" s="1">
        <v>25000</v>
      </c>
      <c r="U384" s="1">
        <v>13000</v>
      </c>
      <c r="V384" s="1">
        <v>5719</v>
      </c>
      <c r="W384" s="1">
        <v>10000</v>
      </c>
    </row>
    <row r="385" spans="1:23" x14ac:dyDescent="0.4">
      <c r="A385" t="s">
        <v>344</v>
      </c>
      <c r="B385" t="s">
        <v>346</v>
      </c>
      <c r="C385" t="s">
        <v>14</v>
      </c>
      <c r="D385" t="s">
        <v>226</v>
      </c>
      <c r="E385" t="s">
        <v>227</v>
      </c>
      <c r="L385" s="1">
        <v>5000</v>
      </c>
      <c r="M385" s="1">
        <v>5000</v>
      </c>
      <c r="N385" s="1"/>
      <c r="O385" s="1">
        <v>6667</v>
      </c>
      <c r="P385" s="1">
        <v>4807</v>
      </c>
      <c r="Q385" s="1">
        <v>7000</v>
      </c>
      <c r="R385" s="1">
        <v>7000</v>
      </c>
      <c r="S385" s="1">
        <v>7000</v>
      </c>
      <c r="T385" s="1">
        <v>7000</v>
      </c>
      <c r="U385" s="1">
        <v>5000</v>
      </c>
      <c r="V385" s="1">
        <v>8306</v>
      </c>
      <c r="W385" s="1">
        <v>8500</v>
      </c>
    </row>
    <row r="386" spans="1:23" x14ac:dyDescent="0.4">
      <c r="A386" t="s">
        <v>344</v>
      </c>
      <c r="B386" t="s">
        <v>346</v>
      </c>
      <c r="C386" t="s">
        <v>14</v>
      </c>
      <c r="D386" t="s">
        <v>139</v>
      </c>
      <c r="E386" t="s">
        <v>140</v>
      </c>
      <c r="L386" s="1">
        <v>43000</v>
      </c>
      <c r="M386" s="1">
        <v>43000</v>
      </c>
      <c r="N386" s="1"/>
      <c r="O386" s="1">
        <v>41027</v>
      </c>
      <c r="P386" s="1">
        <v>32800</v>
      </c>
      <c r="Q386" s="1">
        <v>45000</v>
      </c>
      <c r="R386" s="1">
        <v>45000</v>
      </c>
      <c r="S386" s="1">
        <v>50000</v>
      </c>
      <c r="T386" s="1">
        <v>50000</v>
      </c>
      <c r="U386" s="1">
        <v>70000</v>
      </c>
      <c r="V386" s="1">
        <v>140141</v>
      </c>
      <c r="W386" s="1">
        <v>170000</v>
      </c>
    </row>
    <row r="387" spans="1:23" x14ac:dyDescent="0.4">
      <c r="A387" t="s">
        <v>344</v>
      </c>
      <c r="B387" t="s">
        <v>346</v>
      </c>
      <c r="C387" t="s">
        <v>14</v>
      </c>
      <c r="D387" t="s">
        <v>230</v>
      </c>
      <c r="E387" t="s">
        <v>231</v>
      </c>
      <c r="L387" s="1">
        <v>16000</v>
      </c>
      <c r="M387" s="1">
        <v>16000</v>
      </c>
      <c r="N387" s="1"/>
      <c r="O387" s="1">
        <v>0</v>
      </c>
      <c r="P387" s="1"/>
      <c r="Q387" s="1"/>
    </row>
    <row r="388" spans="1:23" x14ac:dyDescent="0.4">
      <c r="A388" t="s">
        <v>344</v>
      </c>
      <c r="B388" t="s">
        <v>346</v>
      </c>
      <c r="C388" t="s">
        <v>14</v>
      </c>
      <c r="D388" t="s">
        <v>143</v>
      </c>
      <c r="E388" t="s">
        <v>144</v>
      </c>
      <c r="L388" s="1">
        <v>500000</v>
      </c>
      <c r="M388" s="1">
        <v>500000</v>
      </c>
      <c r="N388" s="1"/>
      <c r="O388" s="1">
        <v>217546</v>
      </c>
      <c r="P388" s="1">
        <v>176436</v>
      </c>
      <c r="Q388" s="1">
        <v>260000</v>
      </c>
      <c r="R388" s="1">
        <v>280000</v>
      </c>
      <c r="S388" s="1">
        <v>240000</v>
      </c>
      <c r="T388" s="1">
        <v>240000</v>
      </c>
      <c r="U388" s="1">
        <v>358000</v>
      </c>
      <c r="V388" s="1">
        <v>251801</v>
      </c>
      <c r="W388" s="1">
        <v>350000</v>
      </c>
    </row>
    <row r="389" spans="1:23" x14ac:dyDescent="0.4">
      <c r="A389" t="s">
        <v>344</v>
      </c>
      <c r="B389" t="s">
        <v>346</v>
      </c>
      <c r="C389" t="s">
        <v>14</v>
      </c>
      <c r="D389" t="s">
        <v>145</v>
      </c>
      <c r="E389" t="s">
        <v>146</v>
      </c>
      <c r="L389" s="1">
        <v>2000</v>
      </c>
      <c r="M389" s="1">
        <v>2000</v>
      </c>
      <c r="N389" s="1"/>
      <c r="O389" s="1">
        <v>9824</v>
      </c>
      <c r="P389" s="1">
        <v>8579</v>
      </c>
      <c r="Q389" s="1">
        <v>11000</v>
      </c>
      <c r="R389" s="1">
        <v>11000</v>
      </c>
      <c r="S389" s="1">
        <v>12000</v>
      </c>
      <c r="T389" s="1">
        <v>12000</v>
      </c>
      <c r="U389" s="1">
        <v>12000</v>
      </c>
      <c r="V389" s="1">
        <v>5367</v>
      </c>
      <c r="W389" s="1">
        <v>10000</v>
      </c>
    </row>
    <row r="390" spans="1:23" x14ac:dyDescent="0.4">
      <c r="A390" t="s">
        <v>344</v>
      </c>
      <c r="B390" t="s">
        <v>346</v>
      </c>
      <c r="C390" t="s">
        <v>14</v>
      </c>
      <c r="D390" t="s">
        <v>147</v>
      </c>
      <c r="E390" t="s">
        <v>148</v>
      </c>
      <c r="L390" s="1">
        <v>330000</v>
      </c>
      <c r="M390" s="1">
        <v>330000</v>
      </c>
      <c r="N390" s="1"/>
      <c r="O390" s="1">
        <v>250108</v>
      </c>
      <c r="P390" s="1">
        <v>192804</v>
      </c>
      <c r="Q390" s="1">
        <v>210000</v>
      </c>
      <c r="R390" s="1">
        <v>250000</v>
      </c>
      <c r="S390" s="1">
        <v>225000</v>
      </c>
      <c r="T390" s="1">
        <v>225000</v>
      </c>
      <c r="U390" s="1">
        <v>261000</v>
      </c>
      <c r="V390" s="1">
        <v>207756</v>
      </c>
      <c r="W390" s="1">
        <v>260000</v>
      </c>
    </row>
    <row r="391" spans="1:23" x14ac:dyDescent="0.4">
      <c r="A391" t="s">
        <v>344</v>
      </c>
      <c r="B391" t="s">
        <v>346</v>
      </c>
      <c r="C391" t="s">
        <v>14</v>
      </c>
      <c r="D391" t="s">
        <v>151</v>
      </c>
      <c r="E391" t="s">
        <v>152</v>
      </c>
      <c r="L391" s="1">
        <v>58000</v>
      </c>
      <c r="M391" s="1">
        <v>58000</v>
      </c>
      <c r="N391" s="1"/>
      <c r="O391" s="1">
        <v>0</v>
      </c>
      <c r="P391" s="1"/>
      <c r="Q391" s="1"/>
    </row>
    <row r="392" spans="1:23" x14ac:dyDescent="0.4">
      <c r="A392" t="s">
        <v>344</v>
      </c>
      <c r="B392" t="s">
        <v>346</v>
      </c>
      <c r="C392" t="s">
        <v>14</v>
      </c>
      <c r="D392" t="s">
        <v>153</v>
      </c>
      <c r="E392" t="s">
        <v>154</v>
      </c>
      <c r="L392" s="1">
        <v>5000</v>
      </c>
      <c r="M392" s="1">
        <v>5000</v>
      </c>
      <c r="N392" s="1"/>
      <c r="O392" s="1">
        <v>0</v>
      </c>
      <c r="P392" s="1"/>
      <c r="Q392" s="1"/>
    </row>
    <row r="393" spans="1:23" x14ac:dyDescent="0.4">
      <c r="A393" t="s">
        <v>344</v>
      </c>
      <c r="B393" t="s">
        <v>346</v>
      </c>
      <c r="C393" t="s">
        <v>14</v>
      </c>
      <c r="D393" t="s">
        <v>157</v>
      </c>
      <c r="E393" t="s">
        <v>158</v>
      </c>
      <c r="L393" s="1">
        <v>40000</v>
      </c>
      <c r="M393" s="1">
        <v>40000</v>
      </c>
      <c r="N393" s="1"/>
      <c r="O393" s="1">
        <v>0</v>
      </c>
      <c r="P393" s="1"/>
      <c r="Q393" s="1"/>
      <c r="T393" s="1"/>
      <c r="U393" s="1"/>
      <c r="V393" s="1"/>
    </row>
    <row r="394" spans="1:23" x14ac:dyDescent="0.4">
      <c r="A394" s="4">
        <v>406</v>
      </c>
      <c r="B394" t="s">
        <v>347</v>
      </c>
      <c r="C394" t="s">
        <v>14</v>
      </c>
      <c r="D394" s="4">
        <v>11300</v>
      </c>
      <c r="E394" t="s">
        <v>348</v>
      </c>
      <c r="L394" s="1"/>
      <c r="M394" s="1"/>
      <c r="N394" s="1"/>
      <c r="O394" s="1"/>
      <c r="P394" s="1"/>
      <c r="Q394" s="1"/>
      <c r="T394" s="1"/>
      <c r="U394" s="1"/>
      <c r="V394" s="1">
        <v>-2928</v>
      </c>
    </row>
    <row r="395" spans="1:23" x14ac:dyDescent="0.4">
      <c r="A395" s="4">
        <v>406</v>
      </c>
      <c r="B395" t="s">
        <v>347</v>
      </c>
      <c r="C395" t="s">
        <v>14</v>
      </c>
      <c r="D395" s="4">
        <v>11400</v>
      </c>
      <c r="E395" t="s">
        <v>349</v>
      </c>
      <c r="L395" s="1"/>
      <c r="M395" s="1"/>
      <c r="N395" s="1"/>
      <c r="O395" s="1"/>
      <c r="P395" s="1">
        <v>10645</v>
      </c>
      <c r="Q395" s="1"/>
      <c r="T395" s="1">
        <v>26000</v>
      </c>
      <c r="U395" s="1"/>
      <c r="V395" s="1">
        <v>21798</v>
      </c>
      <c r="W395">
        <v>30000</v>
      </c>
    </row>
    <row r="396" spans="1:23" x14ac:dyDescent="0.4">
      <c r="A396" t="s">
        <v>344</v>
      </c>
      <c r="B396" t="s">
        <v>346</v>
      </c>
      <c r="C396" t="s">
        <v>14</v>
      </c>
      <c r="D396" t="s">
        <v>169</v>
      </c>
      <c r="E396" t="s">
        <v>170</v>
      </c>
      <c r="L396" s="1">
        <v>970000</v>
      </c>
      <c r="M396" s="1">
        <v>970000</v>
      </c>
      <c r="N396" s="1"/>
      <c r="O396" s="1">
        <v>0</v>
      </c>
      <c r="P396" s="1"/>
      <c r="Q396" s="1"/>
      <c r="T396" s="1"/>
      <c r="U396" s="1"/>
      <c r="V396" s="1">
        <v>200</v>
      </c>
      <c r="W396">
        <v>200</v>
      </c>
    </row>
    <row r="397" spans="1:23" x14ac:dyDescent="0.4">
      <c r="A397" t="s">
        <v>344</v>
      </c>
      <c r="B397" t="s">
        <v>346</v>
      </c>
      <c r="C397" t="s">
        <v>14</v>
      </c>
      <c r="D397" t="s">
        <v>171</v>
      </c>
      <c r="E397" t="s">
        <v>172</v>
      </c>
      <c r="L397" s="1">
        <v>8000</v>
      </c>
      <c r="M397" s="1">
        <v>8000</v>
      </c>
      <c r="N397" s="1"/>
      <c r="O397" s="1">
        <v>175</v>
      </c>
      <c r="P397" s="1"/>
      <c r="Q397" s="1"/>
      <c r="R397" s="1"/>
      <c r="T397" s="1">
        <v>1000</v>
      </c>
      <c r="U397" s="1"/>
      <c r="V397" s="1">
        <v>46</v>
      </c>
      <c r="W397">
        <v>100</v>
      </c>
    </row>
    <row r="398" spans="1:23" x14ac:dyDescent="0.4">
      <c r="A398" t="s">
        <v>344</v>
      </c>
      <c r="B398" t="s">
        <v>346</v>
      </c>
      <c r="C398" t="s">
        <v>14</v>
      </c>
      <c r="D398" t="s">
        <v>233</v>
      </c>
      <c r="E398" t="s">
        <v>234</v>
      </c>
      <c r="L398" s="1">
        <v>125000</v>
      </c>
      <c r="M398" s="1">
        <v>125000</v>
      </c>
      <c r="N398" s="1"/>
      <c r="O398" s="1">
        <v>0</v>
      </c>
      <c r="P398" s="1"/>
      <c r="Q398" s="1"/>
      <c r="T398" s="1"/>
      <c r="U398" s="1"/>
      <c r="V398" s="1"/>
    </row>
    <row r="399" spans="1:23" x14ac:dyDescent="0.4">
      <c r="A399" t="s">
        <v>344</v>
      </c>
      <c r="B399" t="s">
        <v>346</v>
      </c>
      <c r="C399" t="s">
        <v>14</v>
      </c>
      <c r="D399" t="s">
        <v>174</v>
      </c>
      <c r="E399" t="s">
        <v>175</v>
      </c>
      <c r="L399" s="1">
        <v>5000</v>
      </c>
      <c r="M399" s="1">
        <v>5000</v>
      </c>
      <c r="N399" s="1"/>
      <c r="O399" s="1">
        <v>0</v>
      </c>
      <c r="P399" s="1"/>
      <c r="Q399" s="1"/>
      <c r="T399">
        <v>100</v>
      </c>
    </row>
    <row r="400" spans="1:23" x14ac:dyDescent="0.4">
      <c r="A400" t="s">
        <v>344</v>
      </c>
      <c r="B400" t="s">
        <v>346</v>
      </c>
      <c r="C400" t="s">
        <v>14</v>
      </c>
      <c r="D400" t="s">
        <v>176</v>
      </c>
      <c r="E400" t="s">
        <v>177</v>
      </c>
      <c r="L400" s="1">
        <v>0</v>
      </c>
      <c r="M400" s="1">
        <v>0</v>
      </c>
      <c r="N400" s="1"/>
      <c r="O400" s="1">
        <v>-9824</v>
      </c>
      <c r="P400" s="1">
        <v>-8579</v>
      </c>
      <c r="Q400" s="1"/>
      <c r="V400" s="1">
        <v>-5367</v>
      </c>
    </row>
    <row r="401" spans="1:23" x14ac:dyDescent="0.4">
      <c r="A401" t="s">
        <v>344</v>
      </c>
      <c r="B401" t="s">
        <v>346</v>
      </c>
      <c r="C401" t="s">
        <v>14</v>
      </c>
      <c r="D401" t="s">
        <v>237</v>
      </c>
      <c r="E401" t="s">
        <v>238</v>
      </c>
      <c r="L401" s="1">
        <v>5000</v>
      </c>
      <c r="M401" s="1">
        <v>5000</v>
      </c>
      <c r="N401" s="1"/>
      <c r="O401" s="1">
        <v>0</v>
      </c>
      <c r="P401" s="1"/>
      <c r="Q401" s="1"/>
    </row>
    <row r="402" spans="1:23" x14ac:dyDescent="0.4">
      <c r="A402" t="s">
        <v>344</v>
      </c>
      <c r="B402" t="s">
        <v>346</v>
      </c>
      <c r="C402" t="s">
        <v>14</v>
      </c>
      <c r="D402" t="s">
        <v>184</v>
      </c>
      <c r="E402" t="s">
        <v>185</v>
      </c>
      <c r="L402" s="1">
        <v>10000</v>
      </c>
      <c r="M402" s="1">
        <v>10000</v>
      </c>
      <c r="N402" s="1"/>
      <c r="O402" s="1">
        <v>0</v>
      </c>
      <c r="P402" s="1"/>
      <c r="Q402" s="1"/>
    </row>
    <row r="403" spans="1:23" x14ac:dyDescent="0.4">
      <c r="A403" t="s">
        <v>344</v>
      </c>
      <c r="B403" t="s">
        <v>346</v>
      </c>
      <c r="C403" t="s">
        <v>14</v>
      </c>
      <c r="D403" t="s">
        <v>188</v>
      </c>
      <c r="E403" t="s">
        <v>189</v>
      </c>
      <c r="L403" s="1">
        <v>10000</v>
      </c>
      <c r="M403" s="1">
        <v>10000</v>
      </c>
      <c r="N403" s="1"/>
      <c r="O403" s="1">
        <v>0</v>
      </c>
      <c r="P403" s="1"/>
      <c r="Q403" s="1"/>
    </row>
    <row r="404" spans="1:23" x14ac:dyDescent="0.4">
      <c r="A404" s="4">
        <v>406</v>
      </c>
      <c r="B404" t="s">
        <v>350</v>
      </c>
      <c r="C404" t="s">
        <v>14</v>
      </c>
      <c r="D404" s="4">
        <v>13800</v>
      </c>
      <c r="E404" t="s">
        <v>91</v>
      </c>
      <c r="L404" s="1"/>
      <c r="M404" s="1"/>
      <c r="N404" s="1"/>
      <c r="O404" s="1"/>
      <c r="P404" s="1">
        <v>22886</v>
      </c>
      <c r="Q404" s="1"/>
    </row>
    <row r="405" spans="1:23" x14ac:dyDescent="0.4">
      <c r="A405" t="s">
        <v>344</v>
      </c>
      <c r="B405" t="s">
        <v>346</v>
      </c>
      <c r="C405" t="s">
        <v>14</v>
      </c>
      <c r="D405" t="s">
        <v>195</v>
      </c>
      <c r="E405" t="s">
        <v>11</v>
      </c>
      <c r="L405" s="1">
        <v>145000</v>
      </c>
      <c r="M405" s="1">
        <v>145000</v>
      </c>
      <c r="N405" s="1"/>
      <c r="O405" s="1">
        <v>0</v>
      </c>
      <c r="P405" s="1">
        <v>2662</v>
      </c>
      <c r="Q405" s="1"/>
      <c r="T405" s="1">
        <v>10000</v>
      </c>
    </row>
    <row r="406" spans="1:23" x14ac:dyDescent="0.4">
      <c r="A406" t="s">
        <v>344</v>
      </c>
      <c r="B406" t="s">
        <v>346</v>
      </c>
      <c r="C406" t="s">
        <v>14</v>
      </c>
      <c r="D406" t="s">
        <v>351</v>
      </c>
      <c r="E406" t="s">
        <v>352</v>
      </c>
      <c r="L406" s="1">
        <v>10000</v>
      </c>
      <c r="M406" s="1">
        <v>10000</v>
      </c>
      <c r="N406" s="1"/>
      <c r="O406" s="1">
        <v>0</v>
      </c>
      <c r="P406" s="1"/>
      <c r="Q406" s="1"/>
    </row>
    <row r="407" spans="1:23" x14ac:dyDescent="0.4">
      <c r="A407" s="6">
        <v>406</v>
      </c>
      <c r="B407" s="2" t="s">
        <v>14</v>
      </c>
      <c r="C407" s="2"/>
      <c r="D407" s="2"/>
      <c r="E407" s="2"/>
      <c r="F407" s="2"/>
      <c r="G407" s="2"/>
      <c r="H407" s="2"/>
      <c r="I407" s="2"/>
      <c r="J407" s="2"/>
      <c r="K407" s="2"/>
      <c r="L407" s="3">
        <f>SUM(L383:L406)</f>
        <v>5187000</v>
      </c>
      <c r="M407" s="3">
        <f>SUM(M383:M406)</f>
        <v>5187000</v>
      </c>
      <c r="N407" s="3"/>
      <c r="O407" s="3">
        <f t="shared" ref="O407:W407" si="12">SUM(O383:O406)</f>
        <v>2058591</v>
      </c>
      <c r="P407" s="3">
        <f t="shared" si="12"/>
        <v>1596074</v>
      </c>
      <c r="Q407" s="3">
        <f t="shared" si="12"/>
        <v>1958000</v>
      </c>
      <c r="R407" s="3">
        <f t="shared" si="12"/>
        <v>2118000</v>
      </c>
      <c r="S407" s="3">
        <f t="shared" si="12"/>
        <v>1909000</v>
      </c>
      <c r="T407" s="3">
        <f t="shared" si="12"/>
        <v>1946100</v>
      </c>
      <c r="U407" s="3">
        <f t="shared" si="12"/>
        <v>2119000</v>
      </c>
      <c r="V407" s="3">
        <f t="shared" si="12"/>
        <v>1700459</v>
      </c>
      <c r="W407" s="3">
        <f t="shared" si="12"/>
        <v>2038800</v>
      </c>
    </row>
    <row r="408" spans="1:23" x14ac:dyDescent="0.4">
      <c r="L408" s="1"/>
      <c r="M408" s="1"/>
      <c r="N408" s="1"/>
      <c r="O408" s="1"/>
      <c r="P408" s="1"/>
      <c r="Q408" s="1"/>
    </row>
    <row r="409" spans="1:23" x14ac:dyDescent="0.4">
      <c r="L409" s="1"/>
      <c r="M409" s="1"/>
      <c r="N409" s="1"/>
      <c r="O409" s="1"/>
      <c r="P409" s="1"/>
      <c r="Q409" s="1"/>
    </row>
    <row r="410" spans="1:23" x14ac:dyDescent="0.4">
      <c r="A410" t="s">
        <v>344</v>
      </c>
      <c r="B410" t="s">
        <v>353</v>
      </c>
      <c r="C410" t="s">
        <v>26</v>
      </c>
      <c r="D410" t="s">
        <v>305</v>
      </c>
      <c r="E410" t="s">
        <v>59</v>
      </c>
      <c r="L410" s="1">
        <v>-865000</v>
      </c>
      <c r="M410" s="1">
        <v>-865000</v>
      </c>
      <c r="N410" s="1"/>
      <c r="O410" s="1">
        <v>0</v>
      </c>
      <c r="P410" s="1"/>
      <c r="Q410" s="1"/>
    </row>
    <row r="411" spans="1:23" x14ac:dyDescent="0.4">
      <c r="A411" t="s">
        <v>344</v>
      </c>
      <c r="B411" t="s">
        <v>346</v>
      </c>
      <c r="C411" t="s">
        <v>26</v>
      </c>
      <c r="D411" t="s">
        <v>200</v>
      </c>
      <c r="E411" t="s">
        <v>201</v>
      </c>
      <c r="L411" s="1">
        <v>-35000</v>
      </c>
      <c r="M411" s="1">
        <v>-35000</v>
      </c>
      <c r="N411" s="1"/>
      <c r="O411" s="1">
        <v>0</v>
      </c>
      <c r="P411" s="1"/>
      <c r="Q411" s="1"/>
    </row>
    <row r="412" spans="1:23" x14ac:dyDescent="0.4">
      <c r="A412" t="s">
        <v>344</v>
      </c>
      <c r="B412" t="s">
        <v>346</v>
      </c>
      <c r="C412" t="s">
        <v>26</v>
      </c>
      <c r="D412" s="4">
        <v>17000</v>
      </c>
      <c r="E412" t="s">
        <v>203</v>
      </c>
      <c r="L412" s="1">
        <v>-10000</v>
      </c>
      <c r="M412" s="1">
        <v>-10000</v>
      </c>
      <c r="N412" s="1"/>
      <c r="O412" s="1">
        <v>-25827</v>
      </c>
      <c r="P412" s="1">
        <v>-24012</v>
      </c>
      <c r="Q412" s="1"/>
    </row>
    <row r="413" spans="1:23" x14ac:dyDescent="0.4">
      <c r="A413" s="4">
        <v>406</v>
      </c>
      <c r="B413" t="s">
        <v>347</v>
      </c>
      <c r="C413" t="s">
        <v>26</v>
      </c>
      <c r="D413" s="4">
        <v>17100</v>
      </c>
      <c r="E413" t="s">
        <v>38</v>
      </c>
      <c r="L413" s="1"/>
      <c r="M413" s="1"/>
      <c r="N413" s="1"/>
      <c r="O413" s="1"/>
      <c r="P413" s="1">
        <v>-49239</v>
      </c>
      <c r="Q413" s="1"/>
      <c r="T413" s="1">
        <v>-20000</v>
      </c>
      <c r="V413" s="1">
        <v>-8460</v>
      </c>
    </row>
    <row r="414" spans="1:23" x14ac:dyDescent="0.4">
      <c r="A414" t="s">
        <v>344</v>
      </c>
      <c r="B414" t="s">
        <v>346</v>
      </c>
      <c r="C414" t="s">
        <v>26</v>
      </c>
      <c r="D414" t="s">
        <v>207</v>
      </c>
      <c r="E414" t="s">
        <v>208</v>
      </c>
      <c r="L414" s="1">
        <v>-145000</v>
      </c>
      <c r="M414" s="1">
        <v>-145000</v>
      </c>
      <c r="N414" s="1"/>
      <c r="O414" s="1">
        <v>0</v>
      </c>
      <c r="P414" s="1">
        <v>-2661.25</v>
      </c>
      <c r="Q414" s="1"/>
      <c r="T414" s="1">
        <v>-10000</v>
      </c>
    </row>
    <row r="415" spans="1:23" x14ac:dyDescent="0.4">
      <c r="A415" t="s">
        <v>344</v>
      </c>
      <c r="B415" t="s">
        <v>346</v>
      </c>
      <c r="C415" t="s">
        <v>26</v>
      </c>
      <c r="D415" t="s">
        <v>209</v>
      </c>
      <c r="E415" t="s">
        <v>210</v>
      </c>
      <c r="L415" s="1">
        <v>0</v>
      </c>
      <c r="M415" s="1">
        <v>0</v>
      </c>
      <c r="N415" s="1"/>
      <c r="O415" s="1">
        <v>-1715308</v>
      </c>
      <c r="P415" s="1">
        <v>-1543355</v>
      </c>
      <c r="Q415" s="1">
        <v>-1958000</v>
      </c>
      <c r="R415" s="1">
        <v>-2118000</v>
      </c>
      <c r="S415" s="1">
        <v>-1909000</v>
      </c>
      <c r="T415" s="1">
        <v>-1915100</v>
      </c>
      <c r="U415" s="1">
        <v>-2119000</v>
      </c>
      <c r="V415" s="1">
        <v>-1674579</v>
      </c>
      <c r="W415" s="1">
        <v>-2038800</v>
      </c>
    </row>
    <row r="416" spans="1:23" x14ac:dyDescent="0.4">
      <c r="A416" s="4">
        <v>406</v>
      </c>
      <c r="B416" t="s">
        <v>347</v>
      </c>
      <c r="C416" t="s">
        <v>26</v>
      </c>
      <c r="D416" s="4">
        <v>17501</v>
      </c>
      <c r="E416" t="s">
        <v>354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>
        <v>-31998</v>
      </c>
    </row>
    <row r="417" spans="1:23" x14ac:dyDescent="0.4">
      <c r="A417" t="s">
        <v>344</v>
      </c>
      <c r="B417" t="s">
        <v>346</v>
      </c>
      <c r="C417" t="s">
        <v>26</v>
      </c>
      <c r="D417" t="s">
        <v>211</v>
      </c>
      <c r="E417" t="s">
        <v>212</v>
      </c>
      <c r="L417" s="1">
        <v>-200000</v>
      </c>
      <c r="M417" s="1">
        <v>-200000</v>
      </c>
      <c r="N417" s="1"/>
      <c r="O417" s="1">
        <v>-1666</v>
      </c>
      <c r="P417" s="1">
        <v>-1378</v>
      </c>
      <c r="Q417" s="1"/>
      <c r="V417" s="1">
        <v>-833</v>
      </c>
    </row>
    <row r="418" spans="1:23" x14ac:dyDescent="0.4">
      <c r="A418" t="s">
        <v>344</v>
      </c>
      <c r="B418" t="s">
        <v>346</v>
      </c>
      <c r="C418" t="s">
        <v>26</v>
      </c>
      <c r="D418" t="s">
        <v>355</v>
      </c>
      <c r="E418" t="s">
        <v>20</v>
      </c>
      <c r="L418" s="1">
        <v>-1650000</v>
      </c>
      <c r="M418" s="1">
        <v>-1650000</v>
      </c>
      <c r="N418" s="1"/>
      <c r="O418" s="1">
        <v>0</v>
      </c>
      <c r="P418" s="1"/>
      <c r="Q418" s="1"/>
      <c r="T418" s="1">
        <v>-1000</v>
      </c>
    </row>
    <row r="419" spans="1:23" x14ac:dyDescent="0.4">
      <c r="A419" t="s">
        <v>344</v>
      </c>
      <c r="B419" t="s">
        <v>346</v>
      </c>
      <c r="C419" t="s">
        <v>26</v>
      </c>
      <c r="D419" t="s">
        <v>221</v>
      </c>
      <c r="E419" t="s">
        <v>356</v>
      </c>
      <c r="L419" s="1">
        <v>-2282000</v>
      </c>
      <c r="M419" s="1">
        <v>-2282000</v>
      </c>
      <c r="N419" s="1"/>
      <c r="O419" s="1">
        <v>0</v>
      </c>
      <c r="P419" s="1"/>
      <c r="Q419" s="1"/>
    </row>
    <row r="420" spans="1:23" x14ac:dyDescent="0.4">
      <c r="A420" s="6">
        <v>406</v>
      </c>
      <c r="B420" s="2" t="s">
        <v>108</v>
      </c>
      <c r="C420" s="2"/>
      <c r="D420" s="2"/>
      <c r="E420" s="2"/>
      <c r="F420" s="2"/>
      <c r="G420" s="2"/>
      <c r="H420" s="2"/>
      <c r="I420" s="2"/>
      <c r="J420" s="2"/>
      <c r="K420" s="2"/>
      <c r="L420" s="3">
        <f>SUM(L408:L419)</f>
        <v>-5187000</v>
      </c>
      <c r="M420" s="3">
        <f>SUM(M410:M419)</f>
        <v>-5187000</v>
      </c>
      <c r="N420" s="3"/>
      <c r="O420" s="3">
        <f t="shared" ref="O420:W420" si="13">SUM(O410:O419)</f>
        <v>-1742801</v>
      </c>
      <c r="P420" s="3">
        <f t="shared" si="13"/>
        <v>-1620645.25</v>
      </c>
      <c r="Q420" s="3">
        <f t="shared" si="13"/>
        <v>-1958000</v>
      </c>
      <c r="R420" s="3">
        <f t="shared" si="13"/>
        <v>-2118000</v>
      </c>
      <c r="S420" s="3">
        <f t="shared" si="13"/>
        <v>-1909000</v>
      </c>
      <c r="T420" s="3">
        <f t="shared" si="13"/>
        <v>-1946100</v>
      </c>
      <c r="U420" s="3">
        <f t="shared" si="13"/>
        <v>-2119000</v>
      </c>
      <c r="V420" s="3">
        <f t="shared" si="13"/>
        <v>-1715870</v>
      </c>
      <c r="W420" s="3">
        <f t="shared" si="13"/>
        <v>-2038800</v>
      </c>
    </row>
    <row r="421" spans="1:23" x14ac:dyDescent="0.4">
      <c r="L421" s="1"/>
      <c r="M421" s="1"/>
      <c r="N421" s="1"/>
      <c r="O421" s="1"/>
      <c r="P421" s="1"/>
      <c r="Q421" s="1"/>
    </row>
    <row r="422" spans="1:23" x14ac:dyDescent="0.4">
      <c r="L422" s="1"/>
      <c r="M422" s="1"/>
      <c r="N422" s="1"/>
      <c r="O422" s="1"/>
      <c r="P422" s="1"/>
      <c r="Q422" s="1"/>
    </row>
    <row r="423" spans="1:23" x14ac:dyDescent="0.4">
      <c r="A423" s="4">
        <v>930</v>
      </c>
      <c r="B423" t="s">
        <v>357</v>
      </c>
      <c r="D423" s="4">
        <v>15300</v>
      </c>
      <c r="E423" t="s">
        <v>358</v>
      </c>
      <c r="U423" s="1">
        <v>386080</v>
      </c>
      <c r="V423" s="1">
        <v>386080</v>
      </c>
      <c r="W423">
        <v>386080</v>
      </c>
    </row>
    <row r="424" spans="1:23" x14ac:dyDescent="0.4">
      <c r="A424" s="4">
        <v>930</v>
      </c>
      <c r="B424" t="s">
        <v>357</v>
      </c>
      <c r="D424" t="s">
        <v>359</v>
      </c>
      <c r="E424" t="s">
        <v>360</v>
      </c>
      <c r="U424" s="1">
        <v>-386080</v>
      </c>
      <c r="V424" s="1"/>
    </row>
    <row r="425" spans="1:23" x14ac:dyDescent="0.4">
      <c r="A425" s="4">
        <v>930</v>
      </c>
      <c r="B425" t="s">
        <v>357</v>
      </c>
      <c r="D425" s="4">
        <v>19400</v>
      </c>
      <c r="E425" t="s">
        <v>325</v>
      </c>
      <c r="U425" s="1">
        <v>248604</v>
      </c>
      <c r="V425" s="1">
        <v>-386080</v>
      </c>
      <c r="W425">
        <v>-386080</v>
      </c>
    </row>
    <row r="426" spans="1:23" x14ac:dyDescent="0.4">
      <c r="A426" s="4">
        <v>930</v>
      </c>
      <c r="B426" t="s">
        <v>357</v>
      </c>
      <c r="D426" s="4">
        <v>256080015</v>
      </c>
      <c r="E426" t="s">
        <v>361</v>
      </c>
      <c r="U426" s="1">
        <v>-248604</v>
      </c>
      <c r="V426" s="1"/>
    </row>
    <row r="427" spans="1:23" x14ac:dyDescent="0.4">
      <c r="A427" s="4">
        <v>930</v>
      </c>
      <c r="B427" t="s">
        <v>357</v>
      </c>
      <c r="D427" s="4">
        <v>19400</v>
      </c>
      <c r="E427" t="s">
        <v>325</v>
      </c>
      <c r="U427" s="1">
        <v>137476</v>
      </c>
      <c r="V427" s="1"/>
    </row>
    <row r="428" spans="1:23" x14ac:dyDescent="0.4">
      <c r="A428" s="4">
        <v>930</v>
      </c>
      <c r="B428" t="s">
        <v>357</v>
      </c>
      <c r="D428" s="4">
        <v>256080001</v>
      </c>
      <c r="E428" t="s">
        <v>362</v>
      </c>
      <c r="U428" s="1">
        <v>-137476</v>
      </c>
      <c r="V428" s="1"/>
    </row>
    <row r="429" spans="1:23" x14ac:dyDescent="0.4">
      <c r="U429" s="42"/>
      <c r="V429" s="42"/>
    </row>
  </sheetData>
  <autoFilter ref="A1:DY422" xr:uid="{EBE270B8-DC3E-4975-AC97-B66721150DA9}"/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0298-F420-4DFB-8184-154B3D977B08}">
  <dimension ref="A1"/>
  <sheetViews>
    <sheetView zoomScaleNormal="100" workbookViewId="0"/>
  </sheetViews>
  <sheetFormatPr baseColWidth="10" defaultColWidth="11.4609375" defaultRowHeight="14.6" x14ac:dyDescent="0.4"/>
  <sheetData>
    <row r="1" spans="1:1" x14ac:dyDescent="0.4">
      <c r="A1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05401BFB2C54C94C253058D6148B8" ma:contentTypeVersion="5" ma:contentTypeDescription="Opprett et nytt dokument." ma:contentTypeScope="" ma:versionID="fe17693630fb361953487a57b9a955f8">
  <xsd:schema xmlns:xsd="http://www.w3.org/2001/XMLSchema" xmlns:xs="http://www.w3.org/2001/XMLSchema" xmlns:p="http://schemas.microsoft.com/office/2006/metadata/properties" xmlns:ns2="5fac8d59-e187-49e6-8c74-c4e43597dcab" xmlns:ns3="b6199e1f-5c23-442a-8ff6-384c2ff93d1b" targetNamespace="http://schemas.microsoft.com/office/2006/metadata/properties" ma:root="true" ma:fieldsID="9bfc3d1ed05bc499040a8e198cc5d391" ns2:_="" ns3:_="">
    <xsd:import namespace="5fac8d59-e187-49e6-8c74-c4e43597dcab"/>
    <xsd:import namespace="b6199e1f-5c23-442a-8ff6-384c2ff93d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c8d59-e187-49e6-8c74-c4e43597d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99e1f-5c23-442a-8ff6-384c2ff93d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6199e1f-5c23-442a-8ff6-384c2ff93d1b">
      <UserInfo>
        <DisplayName>Øysten Martin Paulsen</DisplayName>
        <AccountId>12</AccountId>
        <AccountType/>
      </UserInfo>
      <UserInfo>
        <DisplayName>Per Øyvind Skrede</DisplayName>
        <AccountId>13</AccountId>
        <AccountType/>
      </UserInfo>
      <UserInfo>
        <DisplayName>Ellen Helene Berger</DisplayName>
        <AccountId>15</AccountId>
        <AccountType/>
      </UserInfo>
      <UserInfo>
        <DisplayName>Sissel Hellvik</DisplayName>
        <AccountId>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7068579-974F-4AC1-A993-CE6C9A3B57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9BFE8B-944A-4A8E-985E-1DDD84B21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ac8d59-e187-49e6-8c74-c4e43597dcab"/>
    <ds:schemaRef ds:uri="b6199e1f-5c23-442a-8ff6-384c2ff93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DF5DB-6326-4428-93EE-C49BDFCD7A86}">
  <ds:schemaRefs>
    <ds:schemaRef ds:uri="http://schemas.microsoft.com/office/2006/metadata/properties"/>
    <ds:schemaRef ds:uri="http://schemas.microsoft.com/office/infopath/2007/PartnerControls"/>
    <ds:schemaRef ds:uri="b6199e1f-5c23-442a-8ff6-384c2ff93d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Ansvar</vt:lpstr>
      <vt:lpstr>Konto</vt:lpstr>
      <vt:lpstr>Ark2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Øysten Martin Paulsen</cp:lastModifiedBy>
  <cp:revision/>
  <cp:lastPrinted>2023-10-19T08:30:35Z</cp:lastPrinted>
  <dcterms:created xsi:type="dcterms:W3CDTF">2021-01-11T11:32:05Z</dcterms:created>
  <dcterms:modified xsi:type="dcterms:W3CDTF">2023-11-08T08:22:01Z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0x010100C5005401BFB2C54C94C253058D6148B8</vt:lpwstr>
  </property>
  <property fmtid="{D5CDD505-2E9C-101B-9397-08002B2CF9AE}" pid="3" name="Order">
    <vt:r8>35200</vt:r8>
  </property>
</Properties>
</file>